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metro-my.sharepoint.com/personal/fgamboa_hmetro_med_ec/Documents/Desktop/RESPALDO/Fernando/Personal/1PUCE/1 MAESTRIAS/FINANZAS/MÓDULO 7/"/>
    </mc:Choice>
  </mc:AlternateContent>
  <xr:revisionPtr revIDLastSave="0" documentId="8_{884CD6E6-B973-4A92-A87B-4A17716299E9}" xr6:coauthVersionLast="47" xr6:coauthVersionMax="47" xr10:uidLastSave="{00000000-0000-0000-0000-000000000000}"/>
  <bookViews>
    <workbookView xWindow="-110" yWindow="-110" windowWidth="19420" windowHeight="11500" xr2:uid="{AC226873-15D6-4828-A7E8-BAE11AB436A4}"/>
  </bookViews>
  <sheets>
    <sheet name="(LOGARITMICA)" sheetId="1" r:id="rId1"/>
    <sheet name="Gráfico1" sheetId="8" r:id="rId2"/>
    <sheet name="Hoja4" sheetId="7" r:id="rId3"/>
    <sheet name="Gráfico2" sheetId="4" r:id="rId4"/>
    <sheet name="Hoja1" sheetId="2" r:id="rId5"/>
    <sheet name="DUPONT" sheetId="6" r:id="rId6"/>
    <sheet name="EVA" sheetId="5" r:id="rId7"/>
  </sheets>
  <definedNames>
    <definedName name="_xlnm.Print_Area" localSheetId="0">'(LOGARITMICA)'!$A$1:$G$223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3" i="1" l="1"/>
  <c r="E147" i="1"/>
  <c r="F147" i="1"/>
  <c r="G147" i="1"/>
  <c r="D147" i="1"/>
  <c r="E180" i="1"/>
  <c r="F180" i="1"/>
  <c r="G180" i="1"/>
  <c r="D180" i="1"/>
  <c r="D161" i="1"/>
  <c r="D160" i="1"/>
  <c r="E160" i="1"/>
  <c r="F160" i="1"/>
  <c r="G160" i="1"/>
  <c r="E159" i="1"/>
  <c r="F159" i="1"/>
  <c r="G159" i="1"/>
  <c r="D159" i="1"/>
  <c r="E157" i="1"/>
  <c r="F157" i="1"/>
  <c r="G157" i="1"/>
  <c r="D157" i="1"/>
  <c r="E115" i="1"/>
  <c r="F115" i="1"/>
  <c r="G115" i="1"/>
  <c r="D115" i="1"/>
  <c r="E114" i="1"/>
  <c r="F114" i="1"/>
  <c r="G114" i="1"/>
  <c r="D114" i="1"/>
  <c r="E109" i="1"/>
  <c r="F109" i="1"/>
  <c r="G109" i="1"/>
  <c r="D109" i="1"/>
  <c r="E106" i="1"/>
  <c r="F106" i="1"/>
  <c r="G106" i="1"/>
  <c r="D106" i="1"/>
  <c r="F18" i="1"/>
  <c r="G18" i="1" s="1"/>
  <c r="E18" i="1"/>
  <c r="E38" i="1" s="1"/>
  <c r="G11" i="1"/>
  <c r="F11" i="1"/>
  <c r="E11" i="1"/>
  <c r="E6" i="2"/>
  <c r="F6" i="2"/>
  <c r="G6" i="2"/>
  <c r="D6" i="2"/>
  <c r="G46" i="5"/>
  <c r="G47" i="5"/>
  <c r="F47" i="5"/>
  <c r="F46" i="5"/>
  <c r="F42" i="5"/>
  <c r="F39" i="5"/>
  <c r="E35" i="5"/>
  <c r="E36" i="5"/>
  <c r="E37" i="5"/>
  <c r="E38" i="5"/>
  <c r="E39" i="5"/>
  <c r="E40" i="5"/>
  <c r="E41" i="5"/>
  <c r="E42" i="5"/>
  <c r="E34" i="5"/>
  <c r="D36" i="5"/>
  <c r="D38" i="5" s="1"/>
  <c r="D40" i="5" s="1"/>
  <c r="B39" i="5"/>
  <c r="B40" i="5"/>
  <c r="B41" i="5" s="1"/>
  <c r="B38" i="5"/>
  <c r="B36" i="5"/>
  <c r="G23" i="5"/>
  <c r="G25" i="5"/>
  <c r="G24" i="5"/>
  <c r="J19" i="5"/>
  <c r="J18" i="5"/>
  <c r="J17" i="5"/>
  <c r="I18" i="5"/>
  <c r="I17" i="5"/>
  <c r="H19" i="5"/>
  <c r="H18" i="5"/>
  <c r="H17" i="5"/>
  <c r="G19" i="5"/>
  <c r="G18" i="5"/>
  <c r="G17" i="5"/>
  <c r="D25" i="5"/>
  <c r="C25" i="5"/>
  <c r="C24" i="5"/>
  <c r="C23" i="5"/>
  <c r="C9" i="5"/>
  <c r="D19" i="5"/>
  <c r="C19" i="5"/>
  <c r="C18" i="5"/>
  <c r="C17" i="5"/>
  <c r="L24" i="6"/>
  <c r="K24" i="6"/>
  <c r="I24" i="6"/>
  <c r="H24" i="6"/>
  <c r="E24" i="6"/>
  <c r="D24" i="6"/>
  <c r="B24" i="6"/>
  <c r="A24" i="6"/>
  <c r="K21" i="6"/>
  <c r="J22" i="6" s="1"/>
  <c r="K22" i="6" s="1"/>
  <c r="C22" i="6"/>
  <c r="M3" i="6"/>
  <c r="M4" i="6"/>
  <c r="M5" i="6"/>
  <c r="M6" i="6"/>
  <c r="M7" i="6"/>
  <c r="M2" i="6"/>
  <c r="D21" i="6"/>
  <c r="I21" i="6"/>
  <c r="B21" i="6"/>
  <c r="L17" i="6"/>
  <c r="E17" i="6"/>
  <c r="J17" i="6"/>
  <c r="C17" i="6"/>
  <c r="K15" i="6"/>
  <c r="D15" i="6"/>
  <c r="H17" i="2"/>
  <c r="G14" i="2"/>
  <c r="F14" i="2"/>
  <c r="G13" i="2"/>
  <c r="F13" i="2"/>
  <c r="F17" i="2" s="1"/>
  <c r="G12" i="2"/>
  <c r="G15" i="2" s="1"/>
  <c r="F12" i="2"/>
  <c r="F15" i="2"/>
  <c r="M110" i="1"/>
  <c r="K109" i="1"/>
  <c r="K105" i="1"/>
  <c r="K108" i="1" s="1"/>
  <c r="K104" i="1"/>
  <c r="D170" i="1"/>
  <c r="F170" i="1"/>
  <c r="L104" i="1"/>
  <c r="K107" i="1"/>
  <c r="D4" i="2"/>
  <c r="E4" i="2" s="1"/>
  <c r="F4" i="2" s="1"/>
  <c r="G4" i="2" s="1"/>
  <c r="C4" i="2"/>
  <c r="C217" i="1"/>
  <c r="C216" i="1"/>
  <c r="C215" i="1"/>
  <c r="C214" i="1"/>
  <c r="C213" i="1"/>
  <c r="C210" i="1"/>
  <c r="D207" i="1"/>
  <c r="D205" i="1"/>
  <c r="E205" i="1" s="1"/>
  <c r="C198" i="1"/>
  <c r="C197" i="1"/>
  <c r="C200" i="1" s="1"/>
  <c r="C191" i="1"/>
  <c r="C190" i="1"/>
  <c r="D179" i="1"/>
  <c r="D169" i="1"/>
  <c r="D156" i="1"/>
  <c r="D149" i="1"/>
  <c r="D146" i="1"/>
  <c r="D140" i="1"/>
  <c r="D118" i="1" s="1"/>
  <c r="D137" i="1"/>
  <c r="D131" i="1"/>
  <c r="D128" i="1"/>
  <c r="D117" i="1"/>
  <c r="G116" i="1"/>
  <c r="F116" i="1"/>
  <c r="E116" i="1"/>
  <c r="D116" i="1"/>
  <c r="A115" i="1"/>
  <c r="D105" i="1"/>
  <c r="G79" i="1"/>
  <c r="F79" i="1"/>
  <c r="E79" i="1"/>
  <c r="D79" i="1"/>
  <c r="D78" i="1"/>
  <c r="D80" i="1" s="1"/>
  <c r="D82" i="1" s="1"/>
  <c r="D67" i="1"/>
  <c r="D69" i="1" s="1"/>
  <c r="D71" i="1" s="1"/>
  <c r="D53" i="1"/>
  <c r="D44" i="1"/>
  <c r="E43" i="1"/>
  <c r="F43" i="1" s="1"/>
  <c r="G43" i="1" s="1"/>
  <c r="E42" i="1"/>
  <c r="F42" i="1" s="1"/>
  <c r="G42" i="1" s="1"/>
  <c r="D41" i="1"/>
  <c r="E40" i="1"/>
  <c r="F40" i="1" s="1"/>
  <c r="G40" i="1" s="1"/>
  <c r="E39" i="1"/>
  <c r="F39" i="1" s="1"/>
  <c r="D38" i="1"/>
  <c r="D29" i="1"/>
  <c r="D24" i="1"/>
  <c r="D21" i="1"/>
  <c r="D23" i="1" s="1"/>
  <c r="E20" i="1"/>
  <c r="F20" i="1" s="1"/>
  <c r="G20" i="1" s="1"/>
  <c r="E19" i="1"/>
  <c r="E21" i="1" s="1"/>
  <c r="C8" i="1"/>
  <c r="D8" i="1" s="1"/>
  <c r="E4" i="1"/>
  <c r="F4" i="1" s="1"/>
  <c r="G4" i="1" s="1"/>
  <c r="D47" i="1" l="1"/>
  <c r="D112" i="1" s="1"/>
  <c r="D41" i="5"/>
  <c r="D42" i="5" s="1"/>
  <c r="B42" i="5"/>
  <c r="G17" i="2"/>
  <c r="D173" i="1"/>
  <c r="C219" i="1"/>
  <c r="D22" i="1"/>
  <c r="E44" i="1"/>
  <c r="D25" i="1"/>
  <c r="D113" i="1" s="1"/>
  <c r="C194" i="1"/>
  <c r="C202" i="1" s="1"/>
  <c r="D171" i="1"/>
  <c r="D10" i="1"/>
  <c r="D12" i="1" s="1"/>
  <c r="E8" i="1"/>
  <c r="F44" i="1"/>
  <c r="F41" i="1"/>
  <c r="G39" i="1"/>
  <c r="F205" i="1"/>
  <c r="G38" i="1"/>
  <c r="D191" i="1"/>
  <c r="E67" i="1"/>
  <c r="E69" i="1" s="1"/>
  <c r="E71" i="1" s="1"/>
  <c r="D31" i="1"/>
  <c r="D192" i="1" s="1"/>
  <c r="E78" i="1"/>
  <c r="E80" i="1" s="1"/>
  <c r="E82" i="1" s="1"/>
  <c r="D190" i="1"/>
  <c r="E25" i="1"/>
  <c r="E22" i="1"/>
  <c r="E170" i="1"/>
  <c r="E173" i="1" s="1"/>
  <c r="E23" i="1"/>
  <c r="C221" i="1"/>
  <c r="E53" i="1"/>
  <c r="D183" i="1"/>
  <c r="F19" i="1"/>
  <c r="F24" i="1" s="1"/>
  <c r="D48" i="1"/>
  <c r="E41" i="1"/>
  <c r="E47" i="1" s="1"/>
  <c r="D45" i="1"/>
  <c r="E24" i="1"/>
  <c r="E29" i="1"/>
  <c r="E45" i="1"/>
  <c r="E48" i="1"/>
  <c r="F38" i="1"/>
  <c r="D46" i="1"/>
  <c r="D111" i="1" s="1"/>
  <c r="D50" i="1" l="1"/>
  <c r="D55" i="1" s="1"/>
  <c r="D92" i="1" s="1"/>
  <c r="C222" i="1"/>
  <c r="E46" i="1"/>
  <c r="E111" i="1" s="1"/>
  <c r="D172" i="1"/>
  <c r="D110" i="1" s="1"/>
  <c r="F47" i="1"/>
  <c r="F112" i="1" s="1"/>
  <c r="E27" i="1"/>
  <c r="D27" i="1"/>
  <c r="D33" i="1" s="1"/>
  <c r="D90" i="1" s="1"/>
  <c r="E113" i="1"/>
  <c r="E179" i="1"/>
  <c r="D215" i="1"/>
  <c r="D194" i="1"/>
  <c r="F53" i="1"/>
  <c r="E190" i="1"/>
  <c r="F78" i="1"/>
  <c r="F80" i="1" s="1"/>
  <c r="F82" i="1" s="1"/>
  <c r="G41" i="1"/>
  <c r="G47" i="1" s="1"/>
  <c r="G44" i="1"/>
  <c r="E191" i="1"/>
  <c r="E31" i="1"/>
  <c r="F67" i="1"/>
  <c r="F69" i="1" s="1"/>
  <c r="F71" i="1" s="1"/>
  <c r="F48" i="1"/>
  <c r="F45" i="1"/>
  <c r="F46" i="1"/>
  <c r="F21" i="1"/>
  <c r="G19" i="1"/>
  <c r="F29" i="1"/>
  <c r="E183" i="1"/>
  <c r="E10" i="1"/>
  <c r="E12" i="1" s="1"/>
  <c r="F8" i="1"/>
  <c r="G205" i="1"/>
  <c r="E112" i="1"/>
  <c r="D181" i="1"/>
  <c r="D182" i="1" s="1"/>
  <c r="D120" i="1" s="1"/>
  <c r="D107" i="1"/>
  <c r="D89" i="1"/>
  <c r="D148" i="1"/>
  <c r="D150" i="1" s="1"/>
  <c r="E213" i="1"/>
  <c r="F169" i="1"/>
  <c r="E169" i="1"/>
  <c r="E171" i="1" s="1"/>
  <c r="E172" i="1" s="1"/>
  <c r="E110" i="1" s="1"/>
  <c r="D213" i="1"/>
  <c r="F50" i="1" l="1"/>
  <c r="F55" i="1" s="1"/>
  <c r="F92" i="1" s="1"/>
  <c r="E33" i="1"/>
  <c r="E90" i="1" s="1"/>
  <c r="E50" i="1"/>
  <c r="E55" i="1" s="1"/>
  <c r="E92" i="1" s="1"/>
  <c r="F179" i="1"/>
  <c r="F181" i="1" s="1"/>
  <c r="E215" i="1"/>
  <c r="G29" i="1"/>
  <c r="F183" i="1"/>
  <c r="G48" i="1"/>
  <c r="G45" i="1"/>
  <c r="G46" i="1"/>
  <c r="G21" i="1"/>
  <c r="G24" i="1"/>
  <c r="G112" i="1" s="1"/>
  <c r="G67" i="1"/>
  <c r="G69" i="1" s="1"/>
  <c r="G71" i="1" s="1"/>
  <c r="F31" i="1"/>
  <c r="F191" i="1"/>
  <c r="G78" i="1"/>
  <c r="G80" i="1" s="1"/>
  <c r="G82" i="1" s="1"/>
  <c r="G190" i="1" s="1"/>
  <c r="F190" i="1"/>
  <c r="E181" i="1"/>
  <c r="E182" i="1" s="1"/>
  <c r="E120" i="1" s="1"/>
  <c r="D158" i="1"/>
  <c r="D163" i="1" s="1"/>
  <c r="D91" i="1"/>
  <c r="D93" i="1" s="1"/>
  <c r="F173" i="1"/>
  <c r="F22" i="1"/>
  <c r="F23" i="1"/>
  <c r="F111" i="1" s="1"/>
  <c r="F25" i="1"/>
  <c r="F113" i="1" s="1"/>
  <c r="E192" i="1"/>
  <c r="F192" i="1" s="1"/>
  <c r="F171" i="1"/>
  <c r="F172" i="1" s="1"/>
  <c r="F110" i="1" s="1"/>
  <c r="G53" i="1"/>
  <c r="E89" i="1"/>
  <c r="E149" i="1"/>
  <c r="E146" i="1"/>
  <c r="D197" i="1"/>
  <c r="F10" i="1"/>
  <c r="F12" i="1" s="1"/>
  <c r="G8" i="1"/>
  <c r="G10" i="1" s="1"/>
  <c r="G12" i="1" s="1"/>
  <c r="F182" i="1" l="1"/>
  <c r="F120" i="1" s="1"/>
  <c r="E91" i="1"/>
  <c r="E93" i="1" s="1"/>
  <c r="E94" i="1" s="1"/>
  <c r="E129" i="1" s="1"/>
  <c r="G50" i="1"/>
  <c r="G55" i="1" s="1"/>
  <c r="G92" i="1" s="1"/>
  <c r="F27" i="1"/>
  <c r="F33" i="1" s="1"/>
  <c r="F90" i="1" s="1"/>
  <c r="D214" i="1"/>
  <c r="E156" i="1"/>
  <c r="D94" i="1"/>
  <c r="D129" i="1" s="1"/>
  <c r="D130" i="1" s="1"/>
  <c r="D132" i="1" s="1"/>
  <c r="G89" i="1"/>
  <c r="D162" i="1"/>
  <c r="D119" i="1" s="1"/>
  <c r="D122" i="1" s="1"/>
  <c r="F89" i="1"/>
  <c r="G179" i="1"/>
  <c r="G181" i="1" s="1"/>
  <c r="G182" i="1" s="1"/>
  <c r="G120" i="1" s="1"/>
  <c r="F215" i="1"/>
  <c r="G183" i="1"/>
  <c r="G215" i="1" s="1"/>
  <c r="G22" i="1"/>
  <c r="G170" i="1"/>
  <c r="G173" i="1" s="1"/>
  <c r="G213" i="1" s="1"/>
  <c r="G23" i="1"/>
  <c r="G111" i="1" s="1"/>
  <c r="G25" i="1"/>
  <c r="G113" i="1" s="1"/>
  <c r="E194" i="1"/>
  <c r="E148" i="1"/>
  <c r="E150" i="1" s="1"/>
  <c r="F194" i="1"/>
  <c r="E158" i="1"/>
  <c r="E163" i="1" s="1"/>
  <c r="F213" i="1"/>
  <c r="G169" i="1"/>
  <c r="G191" i="1"/>
  <c r="G31" i="1"/>
  <c r="G192" i="1" s="1"/>
  <c r="G194" i="1" l="1"/>
  <c r="G171" i="1"/>
  <c r="G172" i="1" s="1"/>
  <c r="G110" i="1" s="1"/>
  <c r="E95" i="1"/>
  <c r="E96" i="1" s="1"/>
  <c r="E138" i="1" s="1"/>
  <c r="E161" i="1"/>
  <c r="E162" i="1" s="1"/>
  <c r="E119" i="1" s="1"/>
  <c r="F91" i="1"/>
  <c r="F93" i="1" s="1"/>
  <c r="F94" i="1" s="1"/>
  <c r="F129" i="1" s="1"/>
  <c r="E214" i="1"/>
  <c r="F156" i="1"/>
  <c r="D216" i="1"/>
  <c r="E131" i="1"/>
  <c r="E117" i="1" s="1"/>
  <c r="E128" i="1"/>
  <c r="E130" i="1" s="1"/>
  <c r="F149" i="1"/>
  <c r="F146" i="1"/>
  <c r="F148" i="1" s="1"/>
  <c r="F150" i="1" s="1"/>
  <c r="E197" i="1"/>
  <c r="G158" i="1"/>
  <c r="G163" i="1" s="1"/>
  <c r="G214" i="1" s="1"/>
  <c r="D95" i="1"/>
  <c r="G27" i="1"/>
  <c r="G33" i="1" s="1"/>
  <c r="G90" i="1" s="1"/>
  <c r="G91" i="1" s="1"/>
  <c r="G93" i="1" s="1"/>
  <c r="F158" i="1"/>
  <c r="F163" i="1" s="1"/>
  <c r="E105" i="1"/>
  <c r="E107" i="1" s="1"/>
  <c r="D198" i="1"/>
  <c r="D200" i="1" s="1"/>
  <c r="D202" i="1" s="1"/>
  <c r="F161" i="1" l="1"/>
  <c r="F162" i="1" s="1"/>
  <c r="F119" i="1" s="1"/>
  <c r="G94" i="1"/>
  <c r="G129" i="1" s="1"/>
  <c r="G156" i="1"/>
  <c r="G161" i="1" s="1"/>
  <c r="G162" i="1" s="1"/>
  <c r="G119" i="1" s="1"/>
  <c r="F214" i="1"/>
  <c r="E97" i="1"/>
  <c r="D96" i="1"/>
  <c r="D138" i="1" s="1"/>
  <c r="D139" i="1" s="1"/>
  <c r="D141" i="1" s="1"/>
  <c r="G149" i="1"/>
  <c r="G146" i="1"/>
  <c r="G148" i="1" s="1"/>
  <c r="G150" i="1" s="1"/>
  <c r="G197" i="1" s="1"/>
  <c r="F197" i="1"/>
  <c r="F95" i="1"/>
  <c r="E132" i="1"/>
  <c r="G95" i="1" l="1"/>
  <c r="G96" i="1" s="1"/>
  <c r="G138" i="1" s="1"/>
  <c r="E137" i="1"/>
  <c r="E139" i="1" s="1"/>
  <c r="E140" i="1"/>
  <c r="D217" i="1"/>
  <c r="D219" i="1" s="1"/>
  <c r="D97" i="1"/>
  <c r="F131" i="1"/>
  <c r="F117" i="1" s="1"/>
  <c r="F128" i="1"/>
  <c r="F130" i="1" s="1"/>
  <c r="E216" i="1"/>
  <c r="E98" i="1"/>
  <c r="E99" i="1" s="1"/>
  <c r="E208" i="1" s="1"/>
  <c r="F96" i="1"/>
  <c r="F138" i="1" s="1"/>
  <c r="F97" i="1"/>
  <c r="E118" i="1" l="1"/>
  <c r="E122" i="1" s="1"/>
  <c r="E123" i="1" s="1"/>
  <c r="F105" i="1" s="1"/>
  <c r="F107" i="1" s="1"/>
  <c r="E152" i="1"/>
  <c r="E143" i="1"/>
  <c r="F132" i="1"/>
  <c r="F216" i="1" s="1"/>
  <c r="G97" i="1"/>
  <c r="D98" i="1"/>
  <c r="D206" i="1" s="1"/>
  <c r="F98" i="1"/>
  <c r="F99" i="1" s="1"/>
  <c r="F208" i="1" s="1"/>
  <c r="E141" i="1"/>
  <c r="E198" i="1" l="1"/>
  <c r="E200" i="1" s="1"/>
  <c r="E202" i="1" s="1"/>
  <c r="G131" i="1"/>
  <c r="G117" i="1" s="1"/>
  <c r="G128" i="1"/>
  <c r="G130" i="1" s="1"/>
  <c r="D99" i="1"/>
  <c r="D208" i="1" s="1"/>
  <c r="E207" i="1" s="1"/>
  <c r="F207" i="1" s="1"/>
  <c r="G207" i="1" s="1"/>
  <c r="E217" i="1"/>
  <c r="E219" i="1" s="1"/>
  <c r="F140" i="1"/>
  <c r="F137" i="1"/>
  <c r="F139" i="1" s="1"/>
  <c r="G98" i="1"/>
  <c r="G99" i="1" s="1"/>
  <c r="G208" i="1" s="1"/>
  <c r="E206" i="1"/>
  <c r="F118" i="1" l="1"/>
  <c r="F122" i="1" s="1"/>
  <c r="F123" i="1" s="1"/>
  <c r="G105" i="1" s="1"/>
  <c r="G107" i="1" s="1"/>
  <c r="F152" i="1"/>
  <c r="G132" i="1"/>
  <c r="G216" i="1" s="1"/>
  <c r="D210" i="1"/>
  <c r="D221" i="1" s="1"/>
  <c r="D222" i="1" s="1"/>
  <c r="F141" i="1"/>
  <c r="F206" i="1"/>
  <c r="E210" i="1"/>
  <c r="E221" i="1" s="1"/>
  <c r="E222" i="1" s="1"/>
  <c r="F198" i="1" l="1"/>
  <c r="F200" i="1" s="1"/>
  <c r="F202" i="1" s="1"/>
  <c r="E223" i="1"/>
  <c r="F217" i="1"/>
  <c r="F219" i="1" s="1"/>
  <c r="G140" i="1"/>
  <c r="G137" i="1"/>
  <c r="G139" i="1" s="1"/>
  <c r="G206" i="1"/>
  <c r="G210" i="1" s="1"/>
  <c r="F210" i="1"/>
  <c r="G118" i="1" l="1"/>
  <c r="G122" i="1" s="1"/>
  <c r="G123" i="1" s="1"/>
  <c r="G198" i="1" s="1"/>
  <c r="G200" i="1" s="1"/>
  <c r="G202" i="1" s="1"/>
  <c r="G152" i="1"/>
  <c r="G141" i="1"/>
  <c r="G217" i="1" s="1"/>
  <c r="G219" i="1" s="1"/>
  <c r="G221" i="1" s="1"/>
  <c r="F221" i="1"/>
  <c r="F222" i="1" s="1"/>
  <c r="F223" i="1" s="1"/>
  <c r="G222" i="1" l="1"/>
  <c r="G223" i="1" s="1"/>
</calcChain>
</file>

<file path=xl/sharedStrings.xml><?xml version="1.0" encoding="utf-8"?>
<sst xmlns="http://schemas.openxmlformats.org/spreadsheetml/2006/main" count="355" uniqueCount="184">
  <si>
    <t>Cédula 1</t>
  </si>
  <si>
    <t>FLY S.A.</t>
  </si>
  <si>
    <t>Supuestos básicos</t>
  </si>
  <si>
    <t>Año 2024</t>
  </si>
  <si>
    <t>Año 2025</t>
  </si>
  <si>
    <t>Año 2026</t>
  </si>
  <si>
    <t>CXC</t>
  </si>
  <si>
    <t>Inflación</t>
  </si>
  <si>
    <t>Cédula 2</t>
  </si>
  <si>
    <t>Presupuesto de Ventas</t>
  </si>
  <si>
    <t>Cantidad</t>
  </si>
  <si>
    <t>Precio</t>
  </si>
  <si>
    <t>Total</t>
  </si>
  <si>
    <t>Cédula 3</t>
  </si>
  <si>
    <t>Costo de ventas</t>
  </si>
  <si>
    <t>SBU</t>
  </si>
  <si>
    <t># empleados</t>
  </si>
  <si>
    <t>Sueldo por empleado</t>
  </si>
  <si>
    <t>Total sueldos</t>
  </si>
  <si>
    <t>Aportes IESS</t>
  </si>
  <si>
    <t>13 s</t>
  </si>
  <si>
    <t>14 s</t>
  </si>
  <si>
    <t>FR</t>
  </si>
  <si>
    <t>Total Costo de venta</t>
  </si>
  <si>
    <t>Cédula 4</t>
  </si>
  <si>
    <t>Gasto de ADM</t>
  </si>
  <si>
    <t>Administrador</t>
  </si>
  <si>
    <t>Mensajeros</t>
  </si>
  <si>
    <t>Sueldo Adm</t>
  </si>
  <si>
    <t>Sueldo Secret</t>
  </si>
  <si>
    <t>mantenimiento</t>
  </si>
  <si>
    <t>Total Gasto ADM</t>
  </si>
  <si>
    <t>Cédula 5</t>
  </si>
  <si>
    <t>Compras PPE</t>
  </si>
  <si>
    <t>Terreno</t>
  </si>
  <si>
    <t>Cédula 6</t>
  </si>
  <si>
    <t>Movimiento de Parapentes</t>
  </si>
  <si>
    <t>SI</t>
  </si>
  <si>
    <t>Compras</t>
  </si>
  <si>
    <t>Venta</t>
  </si>
  <si>
    <t>SF</t>
  </si>
  <si>
    <t>Vida útil</t>
  </si>
  <si>
    <t>Cédula 7</t>
  </si>
  <si>
    <t>Movimiento de Terrenos</t>
  </si>
  <si>
    <t>ILIMITADA</t>
  </si>
  <si>
    <t>Cédula 8</t>
  </si>
  <si>
    <t>Estado de Resultados</t>
  </si>
  <si>
    <t>Ventas</t>
  </si>
  <si>
    <t>Utilidad Bruta</t>
  </si>
  <si>
    <t>Gasto Adm</t>
  </si>
  <si>
    <t>Utilidad Operacional</t>
  </si>
  <si>
    <t>15% PTU</t>
  </si>
  <si>
    <t>Base IR</t>
  </si>
  <si>
    <t>25% IR</t>
  </si>
  <si>
    <t>Base RL</t>
  </si>
  <si>
    <t>10% RL</t>
  </si>
  <si>
    <t>Utilidad Neta</t>
  </si>
  <si>
    <t>Cédula 9</t>
  </si>
  <si>
    <t>Presupuesto de caja</t>
  </si>
  <si>
    <t>Saldo Inicial</t>
  </si>
  <si>
    <t>Cobros</t>
  </si>
  <si>
    <t>Caja Disponible</t>
  </si>
  <si>
    <t>Pagos</t>
  </si>
  <si>
    <t>Suministros de limpieza</t>
  </si>
  <si>
    <t>IVA pagado</t>
  </si>
  <si>
    <t>IRF pagado</t>
  </si>
  <si>
    <t>Total Pagos</t>
  </si>
  <si>
    <t>Cédula 10</t>
  </si>
  <si>
    <t>Movimiento de 15% PTU</t>
  </si>
  <si>
    <t>Provisión</t>
  </si>
  <si>
    <t>Cédula 11</t>
  </si>
  <si>
    <t>Cédula 12</t>
  </si>
  <si>
    <t>Movimiento de IRF x C</t>
  </si>
  <si>
    <t>Cédula 13</t>
  </si>
  <si>
    <t>Movimiento de IVA por pagar</t>
  </si>
  <si>
    <t>(+) Ventas</t>
  </si>
  <si>
    <t>(-) ret vtas</t>
  </si>
  <si>
    <t>(-) compras</t>
  </si>
  <si>
    <t>(+) ret comp</t>
  </si>
  <si>
    <t>Cédula 14</t>
  </si>
  <si>
    <t>Movimiento de IESS x P</t>
  </si>
  <si>
    <t>Cédula 15</t>
  </si>
  <si>
    <t>Movimiento de IRF x P</t>
  </si>
  <si>
    <t>Cédula 16</t>
  </si>
  <si>
    <t>BALANCE GENERAL</t>
  </si>
  <si>
    <t>ACTIVOS NO CORRIENTES</t>
  </si>
  <si>
    <t>Terrenos</t>
  </si>
  <si>
    <t>Edificios</t>
  </si>
  <si>
    <t>DEP ACUM</t>
  </si>
  <si>
    <t>TOTAL NO CORRIENTES</t>
  </si>
  <si>
    <t>CORRIENTES</t>
  </si>
  <si>
    <t>IRF por cobrar</t>
  </si>
  <si>
    <t>Caja</t>
  </si>
  <si>
    <t>TOTAL CORRIENTES</t>
  </si>
  <si>
    <t>TOTAL ACTIVOS</t>
  </si>
  <si>
    <t>PATRIMONIO</t>
  </si>
  <si>
    <t>Capital</t>
  </si>
  <si>
    <t>Reserva legal</t>
  </si>
  <si>
    <t>utilidad retenida</t>
  </si>
  <si>
    <t>utilidad del ejercicio</t>
  </si>
  <si>
    <t>TOTAL PATRIMONIO</t>
  </si>
  <si>
    <t>PASIVOS</t>
  </si>
  <si>
    <t>IESS XP</t>
  </si>
  <si>
    <t>IVA X P</t>
  </si>
  <si>
    <t>IRF XP</t>
  </si>
  <si>
    <t>15% PTU XP</t>
  </si>
  <si>
    <t>25% IR X P</t>
  </si>
  <si>
    <t>TOTAL PASIVOS</t>
  </si>
  <si>
    <t>PASIVO Y PATRIMONIO</t>
  </si>
  <si>
    <t>Control</t>
  </si>
  <si>
    <t>AÑO 2021</t>
  </si>
  <si>
    <t>AÑO 2022</t>
  </si>
  <si>
    <t>y=2164LN(X)+5000</t>
  </si>
  <si>
    <t>AÑO 2023</t>
  </si>
  <si>
    <t>AÑO 2024</t>
  </si>
  <si>
    <t>AÑO 2025</t>
  </si>
  <si>
    <t>AÑO 2026</t>
  </si>
  <si>
    <t>(+) IVA</t>
  </si>
  <si>
    <t>(-) 70%RIVA</t>
  </si>
  <si>
    <t>(- IRF ir</t>
  </si>
  <si>
    <t>Movimiento de 25% IR</t>
  </si>
  <si>
    <t>factura</t>
  </si>
  <si>
    <t>Comisiones</t>
  </si>
  <si>
    <t>Retencion</t>
  </si>
  <si>
    <t>isd</t>
  </si>
  <si>
    <t>iva</t>
  </si>
  <si>
    <t>Gross up</t>
  </si>
  <si>
    <t>AÑO 1</t>
  </si>
  <si>
    <t>AÑO 2</t>
  </si>
  <si>
    <t>Activos</t>
  </si>
  <si>
    <t>Pasivos</t>
  </si>
  <si>
    <t>Patrimonio</t>
  </si>
  <si>
    <t>Ingresos</t>
  </si>
  <si>
    <t>Gastos</t>
  </si>
  <si>
    <t>Utilidad</t>
  </si>
  <si>
    <t>ROE 1</t>
  </si>
  <si>
    <t>ROE 2</t>
  </si>
  <si>
    <t>ROA 1</t>
  </si>
  <si>
    <t>ROA 2</t>
  </si>
  <si>
    <t>MAF1</t>
  </si>
  <si>
    <t>MAF2</t>
  </si>
  <si>
    <t>ROS1</t>
  </si>
  <si>
    <t>ROS2</t>
  </si>
  <si>
    <t>ROTA1</t>
  </si>
  <si>
    <t>ROTA2</t>
  </si>
  <si>
    <t>CAPM</t>
  </si>
  <si>
    <t>ESTADOS DE RESULTADOS</t>
  </si>
  <si>
    <t>Costo de Ventas</t>
  </si>
  <si>
    <t>Gastos de venta y Administrativos</t>
  </si>
  <si>
    <t>Gastos Financieros</t>
  </si>
  <si>
    <t>Utilidad antes de Impuestos</t>
  </si>
  <si>
    <t>Impuesto a la renta</t>
  </si>
  <si>
    <t>Costo</t>
  </si>
  <si>
    <t>PPE neto</t>
  </si>
  <si>
    <t>Clientes</t>
  </si>
  <si>
    <t>Inventarios</t>
  </si>
  <si>
    <t>Caja Bancos</t>
  </si>
  <si>
    <t>Total Activos</t>
  </si>
  <si>
    <t>Resultados acumulados</t>
  </si>
  <si>
    <t>Utilidad del Ejercicio</t>
  </si>
  <si>
    <t>Total Patrimonio</t>
  </si>
  <si>
    <t>Préstamos Bancarios</t>
  </si>
  <si>
    <t>Proveedores y Empleados</t>
  </si>
  <si>
    <t>Total Pasivos</t>
  </si>
  <si>
    <t>Total Pasivos + Patrimonio</t>
  </si>
  <si>
    <t>UAIDI</t>
  </si>
  <si>
    <t>ACTIVO NETO</t>
  </si>
  <si>
    <t>Activo Total</t>
  </si>
  <si>
    <t>Financiamiento sin costo</t>
  </si>
  <si>
    <t>Activo Neto</t>
  </si>
  <si>
    <t>CPPC</t>
  </si>
  <si>
    <t>%</t>
  </si>
  <si>
    <t>Ponderado</t>
  </si>
  <si>
    <t>Total deuda con costo</t>
  </si>
  <si>
    <t>EVA</t>
  </si>
  <si>
    <t>AN*CPPC</t>
  </si>
  <si>
    <t>Año 2029</t>
  </si>
  <si>
    <t>Año 2028</t>
  </si>
  <si>
    <t>Año 2027</t>
  </si>
  <si>
    <t>cobro=ventas + IVA - RT IVA - RIR</t>
  </si>
  <si>
    <t>COBRO= VENTA + VENTA*15 - VENTA * 15%*70% - VENTA * 2,75%</t>
  </si>
  <si>
    <t>COBRO = VENTA(1+ 15% - 15%*70% - 2,75%)</t>
  </si>
  <si>
    <t>COBRO = VENTA(1+ 15%(1-70%)-2,75%)</t>
  </si>
  <si>
    <t xml:space="preserve">Depreciación Parapentes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</si>
</sst>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8"/>
      <name val="Arial"/>
      <family val="2"/>
    </font>
    <font>
      <b/>
      <sz val="18"/>
      <color rgb="FFFFFFFF"/>
      <name val="Calibri"/>
      <family val="2"/>
    </font>
    <font>
      <sz val="18"/>
      <color rgb="FF000000"/>
      <name val="Calibri"/>
      <family val="2"/>
    </font>
    <font>
      <sz val="13"/>
      <color rgb="FF000000"/>
      <name val="Calibri"/>
      <family val="2"/>
    </font>
    <font>
      <sz val="16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E9EBF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0" fontId="0" fillId="0" borderId="0" xfId="0" applyNumberFormat="1"/>
    <xf numFmtId="10" fontId="0" fillId="2" borderId="0" xfId="0" applyNumberFormat="1" applyFill="1"/>
    <xf numFmtId="43" fontId="0" fillId="2" borderId="0" xfId="1" applyFont="1" applyFill="1"/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0" fontId="0" fillId="2" borderId="0" xfId="0" applyFill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2" fillId="3" borderId="0" xfId="0" applyFont="1" applyFill="1"/>
    <xf numFmtId="43" fontId="2" fillId="0" borderId="0" xfId="0" applyNumberFormat="1" applyFont="1"/>
    <xf numFmtId="43" fontId="2" fillId="0" borderId="0" xfId="1" applyFont="1"/>
    <xf numFmtId="43" fontId="0" fillId="3" borderId="0" xfId="1" applyFont="1" applyFill="1"/>
    <xf numFmtId="0" fontId="0" fillId="0" borderId="0" xfId="0" applyAlignment="1">
      <alignment horizontal="center"/>
    </xf>
    <xf numFmtId="0" fontId="6" fillId="4" borderId="5" xfId="0" applyFont="1" applyFill="1" applyBorder="1" applyAlignment="1">
      <alignment vertical="top"/>
    </xf>
    <xf numFmtId="0" fontId="7" fillId="4" borderId="5" xfId="0" applyFont="1" applyFill="1" applyBorder="1" applyAlignment="1">
      <alignment horizontal="center" vertical="center" readingOrder="1"/>
    </xf>
    <xf numFmtId="0" fontId="8" fillId="5" borderId="6" xfId="0" applyFont="1" applyFill="1" applyBorder="1" applyAlignment="1">
      <alignment horizontal="left" vertical="center" readingOrder="1"/>
    </xf>
    <xf numFmtId="0" fontId="8" fillId="5" borderId="6" xfId="0" applyFont="1" applyFill="1" applyBorder="1" applyAlignment="1">
      <alignment horizontal="right" vertical="center" readingOrder="1"/>
    </xf>
    <xf numFmtId="0" fontId="8" fillId="6" borderId="7" xfId="0" applyFont="1" applyFill="1" applyBorder="1" applyAlignment="1">
      <alignment horizontal="left" vertical="center" readingOrder="1"/>
    </xf>
    <xf numFmtId="0" fontId="8" fillId="6" borderId="7" xfId="0" applyFont="1" applyFill="1" applyBorder="1" applyAlignment="1">
      <alignment horizontal="right" vertical="center" readingOrder="1"/>
    </xf>
    <xf numFmtId="0" fontId="8" fillId="5" borderId="7" xfId="0" applyFont="1" applyFill="1" applyBorder="1" applyAlignment="1">
      <alignment horizontal="left" vertical="center" readingOrder="1"/>
    </xf>
    <xf numFmtId="0" fontId="8" fillId="5" borderId="7" xfId="0" applyFont="1" applyFill="1" applyBorder="1" applyAlignment="1">
      <alignment horizontal="right" vertical="center" readingOrder="1"/>
    </xf>
    <xf numFmtId="9" fontId="0" fillId="0" borderId="0" xfId="2" applyFont="1"/>
    <xf numFmtId="10" fontId="0" fillId="0" borderId="0" xfId="2" applyNumberFormat="1" applyFont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Border="1"/>
    <xf numFmtId="10" fontId="2" fillId="0" borderId="0" xfId="2" applyNumberFormat="1" applyFont="1" applyBorder="1"/>
    <xf numFmtId="0" fontId="2" fillId="0" borderId="12" xfId="0" applyFont="1" applyBorder="1"/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3" fontId="2" fillId="0" borderId="12" xfId="1" applyFont="1" applyBorder="1"/>
    <xf numFmtId="0" fontId="2" fillId="0" borderId="11" xfId="0" applyFont="1" applyBorder="1" applyAlignment="1">
      <alignment horizontal="center"/>
    </xf>
    <xf numFmtId="10" fontId="2" fillId="0" borderId="13" xfId="2" applyNumberFormat="1" applyFont="1" applyBorder="1"/>
    <xf numFmtId="10" fontId="2" fillId="0" borderId="14" xfId="2" applyNumberFormat="1" applyFont="1" applyBorder="1"/>
    <xf numFmtId="0" fontId="2" fillId="0" borderId="4" xfId="0" applyFont="1" applyBorder="1"/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2" fillId="0" borderId="8" xfId="0" applyFont="1" applyBorder="1" applyAlignment="1">
      <alignment horizontal="center"/>
    </xf>
    <xf numFmtId="0" fontId="0" fillId="0" borderId="0" xfId="0" applyBorder="1"/>
    <xf numFmtId="10" fontId="0" fillId="0" borderId="0" xfId="2" applyNumberFormat="1" applyFont="1" applyBorder="1"/>
    <xf numFmtId="43" fontId="0" fillId="0" borderId="12" xfId="1" applyFont="1" applyBorder="1"/>
    <xf numFmtId="10" fontId="0" fillId="0" borderId="0" xfId="0" applyNumberFormat="1" applyBorder="1"/>
    <xf numFmtId="10" fontId="0" fillId="0" borderId="13" xfId="2" applyNumberFormat="1" applyFont="1" applyBorder="1"/>
    <xf numFmtId="10" fontId="0" fillId="0" borderId="14" xfId="2" applyNumberFormat="1" applyFont="1" applyBorder="1"/>
    <xf numFmtId="0" fontId="0" fillId="0" borderId="4" xfId="0" applyBorder="1"/>
    <xf numFmtId="0" fontId="8" fillId="5" borderId="16" xfId="0" applyFont="1" applyFill="1" applyBorder="1" applyAlignment="1">
      <alignment horizontal="right" vertical="center" readingOrder="1"/>
    </xf>
    <xf numFmtId="0" fontId="8" fillId="6" borderId="17" xfId="0" applyFont="1" applyFill="1" applyBorder="1" applyAlignment="1">
      <alignment horizontal="right" vertical="center" readingOrder="1"/>
    </xf>
    <xf numFmtId="0" fontId="8" fillId="5" borderId="17" xfId="0" applyFont="1" applyFill="1" applyBorder="1" applyAlignment="1">
      <alignment horizontal="right" vertical="center" readingOrder="1"/>
    </xf>
    <xf numFmtId="9" fontId="0" fillId="0" borderId="15" xfId="2" applyFont="1" applyBorder="1"/>
    <xf numFmtId="0" fontId="2" fillId="0" borderId="18" xfId="0" applyFont="1" applyBorder="1" applyAlignment="1">
      <alignment horizontal="center"/>
    </xf>
    <xf numFmtId="43" fontId="0" fillId="0" borderId="3" xfId="1" applyFont="1" applyBorder="1"/>
    <xf numFmtId="43" fontId="2" fillId="0" borderId="3" xfId="1" applyFont="1" applyBorder="1"/>
    <xf numFmtId="0" fontId="8" fillId="6" borderId="17" xfId="0" applyFont="1" applyFill="1" applyBorder="1" applyAlignment="1">
      <alignment horizontal="center" readingOrder="1"/>
    </xf>
    <xf numFmtId="0" fontId="8" fillId="6" borderId="19" xfId="0" applyFont="1" applyFill="1" applyBorder="1" applyAlignment="1">
      <alignment horizontal="center" readingOrder="1"/>
    </xf>
    <xf numFmtId="0" fontId="8" fillId="6" borderId="7" xfId="0" applyFont="1" applyFill="1" applyBorder="1" applyAlignment="1">
      <alignment horizontal="left" readingOrder="1"/>
    </xf>
    <xf numFmtId="0" fontId="8" fillId="6" borderId="7" xfId="0" applyFont="1" applyFill="1" applyBorder="1" applyAlignment="1">
      <alignment horizontal="right" readingOrder="1"/>
    </xf>
    <xf numFmtId="0" fontId="6" fillId="6" borderId="7" xfId="0" applyFont="1" applyFill="1" applyBorder="1" applyAlignment="1">
      <alignment wrapText="1"/>
    </xf>
    <xf numFmtId="0" fontId="9" fillId="6" borderId="17" xfId="0" applyFont="1" applyFill="1" applyBorder="1" applyAlignment="1">
      <alignment horizontal="center" readingOrder="1"/>
    </xf>
    <xf numFmtId="0" fontId="9" fillId="6" borderId="19" xfId="0" applyFont="1" applyFill="1" applyBorder="1" applyAlignment="1">
      <alignment horizontal="center" readingOrder="1"/>
    </xf>
    <xf numFmtId="0" fontId="9" fillId="6" borderId="7" xfId="0" applyFont="1" applyFill="1" applyBorder="1" applyAlignment="1">
      <alignment horizontal="center" readingOrder="1"/>
    </xf>
    <xf numFmtId="0" fontId="9" fillId="6" borderId="7" xfId="0" applyFont="1" applyFill="1" applyBorder="1" applyAlignment="1">
      <alignment horizontal="left" readingOrder="1"/>
    </xf>
    <xf numFmtId="0" fontId="9" fillId="6" borderId="7" xfId="0" applyFont="1" applyFill="1" applyBorder="1" applyAlignment="1">
      <alignment horizontal="right" readingOrder="1"/>
    </xf>
    <xf numFmtId="0" fontId="6" fillId="6" borderId="7" xfId="0" applyFont="1" applyFill="1" applyBorder="1" applyAlignment="1"/>
    <xf numFmtId="9" fontId="9" fillId="6" borderId="7" xfId="0" applyNumberFormat="1" applyFont="1" applyFill="1" applyBorder="1" applyAlignment="1">
      <alignment horizontal="right" readingOrder="1"/>
    </xf>
    <xf numFmtId="0" fontId="10" fillId="6" borderId="7" xfId="0" applyFont="1" applyFill="1" applyBorder="1" applyAlignment="1">
      <alignment horizontal="left" wrapText="1" readingOrder="1"/>
    </xf>
    <xf numFmtId="0" fontId="10" fillId="6" borderId="7" xfId="0" applyFont="1" applyFill="1" applyBorder="1" applyAlignment="1">
      <alignment horizontal="right" wrapText="1" readingOrder="1"/>
    </xf>
    <xf numFmtId="0" fontId="10" fillId="6" borderId="17" xfId="0" applyFont="1" applyFill="1" applyBorder="1" applyAlignment="1">
      <alignment horizontal="center" wrapText="1" readingOrder="1"/>
    </xf>
    <xf numFmtId="0" fontId="10" fillId="6" borderId="19" xfId="0" applyFont="1" applyFill="1" applyBorder="1" applyAlignment="1">
      <alignment horizontal="center" wrapText="1" readingOrder="1"/>
    </xf>
    <xf numFmtId="0" fontId="10" fillId="6" borderId="17" xfId="0" applyFont="1" applyFill="1" applyBorder="1" applyAlignment="1">
      <alignment horizontal="center" readingOrder="1"/>
    </xf>
    <xf numFmtId="0" fontId="10" fillId="6" borderId="19" xfId="0" applyFont="1" applyFill="1" applyBorder="1" applyAlignment="1">
      <alignment horizontal="center" readingOrder="1"/>
    </xf>
    <xf numFmtId="0" fontId="10" fillId="6" borderId="7" xfId="0" applyFont="1" applyFill="1" applyBorder="1" applyAlignment="1">
      <alignment horizontal="center" readingOrder="1"/>
    </xf>
    <xf numFmtId="0" fontId="10" fillId="6" borderId="7" xfId="0" applyFont="1" applyFill="1" applyBorder="1" applyAlignment="1">
      <alignment horizontal="left" readingOrder="1"/>
    </xf>
    <xf numFmtId="0" fontId="10" fillId="6" borderId="7" xfId="0" applyFont="1" applyFill="1" applyBorder="1" applyAlignment="1">
      <alignment horizontal="right" readingOrder="1"/>
    </xf>
    <xf numFmtId="10" fontId="10" fillId="6" borderId="7" xfId="0" applyNumberFormat="1" applyFont="1" applyFill="1" applyBorder="1" applyAlignment="1">
      <alignment horizontal="right" readingOrder="1"/>
    </xf>
    <xf numFmtId="9" fontId="10" fillId="6" borderId="7" xfId="0" applyNumberFormat="1" applyFont="1" applyFill="1" applyBorder="1" applyAlignment="1">
      <alignment horizontal="right" readingOrder="1"/>
    </xf>
    <xf numFmtId="43" fontId="10" fillId="6" borderId="7" xfId="1" applyFont="1" applyFill="1" applyBorder="1" applyAlignment="1">
      <alignment horizontal="left" readingOrder="1"/>
    </xf>
    <xf numFmtId="43" fontId="10" fillId="6" borderId="7" xfId="0" applyNumberFormat="1" applyFont="1" applyFill="1" applyBorder="1" applyAlignment="1">
      <alignment horizontal="left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5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forward val="5"/>
            <c:dispRSqr val="1"/>
            <c:dispEq val="1"/>
            <c:trendlineLbl>
              <c:layout>
                <c:manualLayout>
                  <c:x val="-7.3899065682833651E-2"/>
                  <c:y val="-1.48418678372736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cat>
            <c:strRef>
              <c:f>Hoja4!$B$1:$C$1</c:f>
              <c:strCache>
                <c:ptCount val="2"/>
                <c:pt idx="0">
                  <c:v>Año 2024</c:v>
                </c:pt>
                <c:pt idx="1">
                  <c:v>Año 2025</c:v>
                </c:pt>
              </c:strCache>
            </c:strRef>
          </c:cat>
          <c:val>
            <c:numRef>
              <c:f>Hoja4!$B$2:$C$2</c:f>
              <c:numCache>
                <c:formatCode>_(* #,##0.00_);_(* \(#,##0.00\);_(* "-"??_);_(@_)</c:formatCode>
                <c:ptCount val="2"/>
                <c:pt idx="0">
                  <c:v>5000</c:v>
                </c:pt>
                <c:pt idx="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0-45A3-A8F5-DB338773D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7975464"/>
        <c:axId val="947977984"/>
      </c:barChart>
      <c:catAx>
        <c:axId val="947975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47977984"/>
        <c:crosses val="autoZero"/>
        <c:auto val="1"/>
        <c:lblAlgn val="ctr"/>
        <c:lblOffset val="100"/>
        <c:noMultiLvlLbl val="0"/>
      </c:catAx>
      <c:valAx>
        <c:axId val="94797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47975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0.19047646204888655"/>
                  <c:y val="1.00527063254183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cat>
            <c:strRef>
              <c:f>Hoja1!$B$5:$C$5</c:f>
              <c:strCache>
                <c:ptCount val="2"/>
                <c:pt idx="0">
                  <c:v>AÑO 2021</c:v>
                </c:pt>
                <c:pt idx="1">
                  <c:v>AÑO 2022</c:v>
                </c:pt>
              </c:strCache>
            </c:strRef>
          </c:cat>
          <c:val>
            <c:numRef>
              <c:f>Hoja1!$B$6:$C$6</c:f>
              <c:numCache>
                <c:formatCode>#,##0</c:formatCode>
                <c:ptCount val="2"/>
                <c:pt idx="0">
                  <c:v>5000</c:v>
                </c:pt>
                <c:pt idx="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1-4F91-98E1-13ACB635B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6138384"/>
        <c:axId val="1296139344"/>
      </c:barChart>
      <c:catAx>
        <c:axId val="129613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296139344"/>
        <c:crosses val="autoZero"/>
        <c:auto val="1"/>
        <c:lblAlgn val="ctr"/>
        <c:lblOffset val="100"/>
        <c:noMultiLvlLbl val="0"/>
      </c:catAx>
      <c:valAx>
        <c:axId val="129613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29613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D2A69DA-D6EF-4B67-A037-9E922C6B63B5}">
  <sheetPr/>
  <sheetViews>
    <sheetView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176E87F-3EBF-4A50-81B0-E76EA224DE6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6682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62CDA9-79EB-096D-19E3-834494F83E9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6682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E8C54A-05CA-2791-7A3C-43FB9714D7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44450</xdr:colOff>
      <xdr:row>9</xdr:row>
      <xdr:rowOff>157464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2EF62E-5D6D-4474-ADB7-B016A1370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378449" cy="2665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CF82-B3B4-4F8D-9700-1C6B39852C76}">
  <dimension ref="A1:M223"/>
  <sheetViews>
    <sheetView tabSelected="1" zoomScale="110" zoomScaleNormal="110" workbookViewId="0">
      <pane xSplit="1" ySplit="3" topLeftCell="B210" activePane="bottomRight" state="frozen"/>
      <selection activeCell="B227" sqref="B227"/>
      <selection pane="topRight" activeCell="B227" sqref="B227"/>
      <selection pane="bottomLeft" activeCell="B227" sqref="B227"/>
      <selection pane="bottomRight" activeCell="F221" sqref="F221"/>
    </sheetView>
  </sheetViews>
  <sheetFormatPr baseColWidth="10" defaultRowHeight="14.5" x14ac:dyDescent="0.35"/>
  <cols>
    <col min="1" max="1" width="21.6328125" bestFit="1" customWidth="1"/>
    <col min="2" max="2" width="8.90625" bestFit="1" customWidth="1"/>
    <col min="4" max="4" width="11.54296875" bestFit="1" customWidth="1"/>
    <col min="5" max="7" width="13.08984375" bestFit="1" customWidth="1"/>
  </cols>
  <sheetData>
    <row r="1" spans="1:7" s="1" customFormat="1" x14ac:dyDescent="0.35">
      <c r="A1" s="1" t="s">
        <v>0</v>
      </c>
    </row>
    <row r="2" spans="1:7" s="1" customFormat="1" x14ac:dyDescent="0.35">
      <c r="A2" s="1" t="s">
        <v>1</v>
      </c>
    </row>
    <row r="3" spans="1:7" s="1" customFormat="1" x14ac:dyDescent="0.35">
      <c r="A3" s="1" t="s">
        <v>2</v>
      </c>
      <c r="C3" s="2" t="s">
        <v>4</v>
      </c>
      <c r="D3" s="2" t="s">
        <v>5</v>
      </c>
      <c r="E3" s="2" t="s">
        <v>178</v>
      </c>
      <c r="F3" s="2" t="s">
        <v>177</v>
      </c>
      <c r="G3" s="2" t="s">
        <v>176</v>
      </c>
    </row>
    <row r="4" spans="1:7" hidden="1" x14ac:dyDescent="0.35">
      <c r="A4" t="s">
        <v>6</v>
      </c>
      <c r="D4">
        <v>0</v>
      </c>
      <c r="E4">
        <f>+D4</f>
        <v>0</v>
      </c>
      <c r="F4">
        <f t="shared" ref="F4:G4" si="0">+E4</f>
        <v>0</v>
      </c>
      <c r="G4">
        <f t="shared" si="0"/>
        <v>0</v>
      </c>
    </row>
    <row r="5" spans="1:7" x14ac:dyDescent="0.35">
      <c r="A5" t="s">
        <v>7</v>
      </c>
      <c r="C5" s="3"/>
      <c r="D5" s="4">
        <v>2.6300000000000004E-2</v>
      </c>
      <c r="E5" s="4">
        <v>1.7500000000000002E-2</v>
      </c>
      <c r="F5" s="4">
        <v>1.55E-2</v>
      </c>
      <c r="G5" s="4">
        <v>1.55E-2</v>
      </c>
    </row>
    <row r="7" spans="1:7" s="1" customFormat="1" x14ac:dyDescent="0.35">
      <c r="A7" s="1" t="s">
        <v>8</v>
      </c>
    </row>
    <row r="8" spans="1:7" s="1" customFormat="1" x14ac:dyDescent="0.35">
      <c r="A8" s="1" t="s">
        <v>1</v>
      </c>
      <c r="B8" s="1">
        <v>1</v>
      </c>
      <c r="C8" s="1">
        <f>+B8+1</f>
        <v>2</v>
      </c>
      <c r="D8" s="1">
        <f>+C8+1</f>
        <v>3</v>
      </c>
      <c r="E8" s="1">
        <f t="shared" ref="E8:G8" si="1">+D8+1</f>
        <v>4</v>
      </c>
      <c r="F8" s="1">
        <f t="shared" si="1"/>
        <v>5</v>
      </c>
      <c r="G8" s="1">
        <f t="shared" si="1"/>
        <v>6</v>
      </c>
    </row>
    <row r="9" spans="1:7" s="1" customFormat="1" x14ac:dyDescent="0.35">
      <c r="A9" s="1" t="s">
        <v>9</v>
      </c>
      <c r="C9" s="2" t="s">
        <v>4</v>
      </c>
      <c r="D9" s="2" t="s">
        <v>5</v>
      </c>
      <c r="E9" s="2" t="s">
        <v>178</v>
      </c>
      <c r="F9" s="2" t="s">
        <v>177</v>
      </c>
      <c r="G9" s="2" t="s">
        <v>176</v>
      </c>
    </row>
    <row r="10" spans="1:7" x14ac:dyDescent="0.35">
      <c r="A10" t="s">
        <v>10</v>
      </c>
      <c r="B10" s="5">
        <v>5000</v>
      </c>
      <c r="C10" s="5">
        <v>6500</v>
      </c>
      <c r="D10" s="6">
        <f t="shared" ref="D10:G10" si="2">2164*LN(D8)+5000</f>
        <v>7377.39699267779</v>
      </c>
      <c r="E10" s="6">
        <f t="shared" si="2"/>
        <v>7999.9409974634436</v>
      </c>
      <c r="F10" s="6">
        <f t="shared" si="2"/>
        <v>8482.8236425073919</v>
      </c>
      <c r="G10" s="6">
        <f t="shared" si="2"/>
        <v>8877.36749140951</v>
      </c>
    </row>
    <row r="11" spans="1:7" x14ac:dyDescent="0.35">
      <c r="A11" t="s">
        <v>11</v>
      </c>
      <c r="D11" s="5">
        <v>45</v>
      </c>
      <c r="E11" s="6">
        <f>+D11*(1+E5)</f>
        <v>45.787500000000001</v>
      </c>
      <c r="F11" s="6">
        <f t="shared" ref="F11:G11" si="3">+E11*(1+F5)</f>
        <v>46.497206250000005</v>
      </c>
      <c r="G11" s="6">
        <f t="shared" si="3"/>
        <v>47.217912946875011</v>
      </c>
    </row>
    <row r="12" spans="1:7" x14ac:dyDescent="0.35">
      <c r="A12" t="s">
        <v>12</v>
      </c>
      <c r="D12" s="7">
        <f t="shared" ref="D12:G12" si="4">+D10*D11</f>
        <v>331982.86467050057</v>
      </c>
      <c r="E12" s="7">
        <f t="shared" si="4"/>
        <v>366297.29842135741</v>
      </c>
      <c r="F12" s="7">
        <f t="shared" si="4"/>
        <v>394427.60048804252</v>
      </c>
      <c r="G12" s="7">
        <f t="shared" si="4"/>
        <v>419170.76540679246</v>
      </c>
    </row>
    <row r="15" spans="1:7" s="1" customFormat="1" x14ac:dyDescent="0.35">
      <c r="A15" s="1" t="s">
        <v>13</v>
      </c>
    </row>
    <row r="16" spans="1:7" s="1" customFormat="1" x14ac:dyDescent="0.35">
      <c r="A16" s="1" t="s">
        <v>1</v>
      </c>
    </row>
    <row r="17" spans="1:7" s="1" customFormat="1" x14ac:dyDescent="0.35">
      <c r="A17" s="1" t="s">
        <v>14</v>
      </c>
      <c r="C17" s="2" t="s">
        <v>4</v>
      </c>
      <c r="D17" s="2" t="s">
        <v>5</v>
      </c>
      <c r="E17" s="2" t="s">
        <v>178</v>
      </c>
      <c r="F17" s="2" t="s">
        <v>177</v>
      </c>
      <c r="G17" s="2" t="s">
        <v>176</v>
      </c>
    </row>
    <row r="18" spans="1:7" x14ac:dyDescent="0.35">
      <c r="A18" s="1" t="s">
        <v>15</v>
      </c>
      <c r="B18" s="1"/>
      <c r="D18" s="5">
        <v>482</v>
      </c>
      <c r="E18" s="6">
        <f>+D18*(1+E5)</f>
        <v>490.43500000000006</v>
      </c>
      <c r="F18" s="6">
        <f t="shared" ref="F18:G18" si="5">+E18*(1+F5)</f>
        <v>498.03674250000012</v>
      </c>
      <c r="G18" s="6">
        <f t="shared" si="5"/>
        <v>505.75631200875017</v>
      </c>
    </row>
    <row r="19" spans="1:7" x14ac:dyDescent="0.35">
      <c r="A19" s="1" t="s">
        <v>16</v>
      </c>
      <c r="B19" s="1"/>
      <c r="D19" s="5">
        <v>4</v>
      </c>
      <c r="E19" s="6">
        <f>+D19</f>
        <v>4</v>
      </c>
      <c r="F19" s="6">
        <f t="shared" ref="F19:G19" si="6">+E19</f>
        <v>4</v>
      </c>
      <c r="G19" s="6">
        <f t="shared" si="6"/>
        <v>4</v>
      </c>
    </row>
    <row r="20" spans="1:7" x14ac:dyDescent="0.35">
      <c r="A20" s="1" t="s">
        <v>17</v>
      </c>
      <c r="B20" s="1"/>
      <c r="D20" s="5">
        <v>700</v>
      </c>
      <c r="E20" s="6">
        <f>+D20*(1+E5)</f>
        <v>712.25</v>
      </c>
      <c r="F20" s="6">
        <f>+E20*(1+F5)</f>
        <v>723.28987500000005</v>
      </c>
      <c r="G20" s="6">
        <f>+F20*(1+G5)</f>
        <v>734.5008680625001</v>
      </c>
    </row>
    <row r="21" spans="1:7" x14ac:dyDescent="0.35">
      <c r="A21" s="1" t="s">
        <v>18</v>
      </c>
      <c r="B21" s="1"/>
      <c r="D21" s="6">
        <f>+D19*D20*12</f>
        <v>33600</v>
      </c>
      <c r="E21" s="6">
        <f t="shared" ref="E21:G21" si="7">+E19*E20*12</f>
        <v>34188</v>
      </c>
      <c r="F21" s="6">
        <f t="shared" si="7"/>
        <v>34717.914000000004</v>
      </c>
      <c r="G21" s="6">
        <f t="shared" si="7"/>
        <v>35256.041667000005</v>
      </c>
    </row>
    <row r="22" spans="1:7" x14ac:dyDescent="0.35">
      <c r="A22" s="1" t="s">
        <v>19</v>
      </c>
      <c r="B22" s="1"/>
      <c r="D22" s="6">
        <f>+D21*12.15%</f>
        <v>4082.4</v>
      </c>
      <c r="E22" s="6">
        <f t="shared" ref="E22:G22" si="8">+E21*12.15%</f>
        <v>4153.8419999999996</v>
      </c>
      <c r="F22" s="6">
        <f t="shared" si="8"/>
        <v>4218.2265510000007</v>
      </c>
      <c r="G22" s="6">
        <f t="shared" si="8"/>
        <v>4283.6090625405004</v>
      </c>
    </row>
    <row r="23" spans="1:7" x14ac:dyDescent="0.35">
      <c r="A23" s="1" t="s">
        <v>20</v>
      </c>
      <c r="B23" s="1"/>
      <c r="D23" s="6">
        <f>+D21/12</f>
        <v>2800</v>
      </c>
      <c r="E23" s="6">
        <f t="shared" ref="E23:G23" si="9">+E21/12</f>
        <v>2849</v>
      </c>
      <c r="F23" s="6">
        <f t="shared" si="9"/>
        <v>2893.1595000000002</v>
      </c>
      <c r="G23" s="6">
        <f t="shared" si="9"/>
        <v>2938.0034722500004</v>
      </c>
    </row>
    <row r="24" spans="1:7" x14ac:dyDescent="0.35">
      <c r="A24" s="1" t="s">
        <v>21</v>
      </c>
      <c r="B24" s="1"/>
      <c r="D24" s="7">
        <f>+D18*D19</f>
        <v>1928</v>
      </c>
      <c r="E24" s="7">
        <f t="shared" ref="E24:G24" si="10">+E18*E19</f>
        <v>1961.7400000000002</v>
      </c>
      <c r="F24" s="7">
        <f t="shared" si="10"/>
        <v>1992.1469700000005</v>
      </c>
      <c r="G24" s="7">
        <f t="shared" si="10"/>
        <v>2023.0252480350007</v>
      </c>
    </row>
    <row r="25" spans="1:7" x14ac:dyDescent="0.35">
      <c r="A25" s="1" t="s">
        <v>22</v>
      </c>
      <c r="B25" s="1"/>
      <c r="D25" s="6">
        <f>+D21*8.33%</f>
        <v>2798.88</v>
      </c>
      <c r="E25" s="6">
        <f t="shared" ref="E25:G25" si="11">+E21*8.33%</f>
        <v>2847.8604</v>
      </c>
      <c r="F25" s="6">
        <f t="shared" si="11"/>
        <v>2892.0022362000004</v>
      </c>
      <c r="G25" s="6">
        <f t="shared" si="11"/>
        <v>2936.8282708611005</v>
      </c>
    </row>
    <row r="26" spans="1:7" x14ac:dyDescent="0.35">
      <c r="D26" s="6"/>
    </row>
    <row r="27" spans="1:7" x14ac:dyDescent="0.35">
      <c r="A27" s="1" t="s">
        <v>12</v>
      </c>
      <c r="B27" s="1"/>
      <c r="D27" s="7">
        <f>SUM(D21:D26)</f>
        <v>45209.279999999999</v>
      </c>
      <c r="E27" s="7">
        <f t="shared" ref="E27:G27" si="12">SUM(E21:E26)</f>
        <v>46000.442399999993</v>
      </c>
      <c r="F27" s="7">
        <f t="shared" si="12"/>
        <v>46713.449257200009</v>
      </c>
      <c r="G27" s="7">
        <f t="shared" si="12"/>
        <v>47437.507720686604</v>
      </c>
    </row>
    <row r="29" spans="1:7" x14ac:dyDescent="0.35">
      <c r="A29" t="s">
        <v>63</v>
      </c>
      <c r="D29" s="5">
        <f>1700*12</f>
        <v>20400</v>
      </c>
      <c r="E29" s="6">
        <f>+D29*(1+E5)</f>
        <v>20757</v>
      </c>
      <c r="F29" s="6">
        <f>+E29*(1+F5)</f>
        <v>21078.733500000002</v>
      </c>
      <c r="G29" s="6">
        <f>+F29*(1+G5)</f>
        <v>21405.453869250003</v>
      </c>
    </row>
    <row r="31" spans="1:7" x14ac:dyDescent="0.35">
      <c r="A31" t="s">
        <v>183</v>
      </c>
      <c r="D31" s="6">
        <f>+D71/$C$72</f>
        <v>15000</v>
      </c>
      <c r="E31" s="6">
        <f t="shared" ref="E31:G31" si="13">+E71/$C$72</f>
        <v>15000</v>
      </c>
      <c r="F31" s="6">
        <f t="shared" si="13"/>
        <v>15000</v>
      </c>
      <c r="G31" s="6">
        <f t="shared" si="13"/>
        <v>15000</v>
      </c>
    </row>
    <row r="33" spans="1:7" x14ac:dyDescent="0.35">
      <c r="A33" t="s">
        <v>23</v>
      </c>
      <c r="D33" s="7">
        <f>SUM(D27:D32)</f>
        <v>80609.279999999999</v>
      </c>
      <c r="E33" s="7">
        <f>SUM(E27:E32)</f>
        <v>81757.4424</v>
      </c>
      <c r="F33" s="7">
        <f>SUM(F27:F32)</f>
        <v>82792.182757200004</v>
      </c>
      <c r="G33" s="7">
        <f>SUM(G27:G32)</f>
        <v>83842.961589936604</v>
      </c>
    </row>
    <row r="35" spans="1:7" s="1" customFormat="1" x14ac:dyDescent="0.35">
      <c r="A35" s="1" t="s">
        <v>24</v>
      </c>
    </row>
    <row r="36" spans="1:7" s="1" customFormat="1" x14ac:dyDescent="0.35">
      <c r="A36" s="1" t="s">
        <v>1</v>
      </c>
    </row>
    <row r="37" spans="1:7" s="1" customFormat="1" x14ac:dyDescent="0.35">
      <c r="A37" s="1" t="s">
        <v>25</v>
      </c>
      <c r="C37" s="2" t="s">
        <v>4</v>
      </c>
      <c r="D37" s="2" t="s">
        <v>5</v>
      </c>
      <c r="E37" s="2" t="s">
        <v>178</v>
      </c>
      <c r="F37" s="2" t="s">
        <v>177</v>
      </c>
      <c r="G37" s="2" t="s">
        <v>176</v>
      </c>
    </row>
    <row r="38" spans="1:7" x14ac:dyDescent="0.35">
      <c r="A38" s="1" t="s">
        <v>15</v>
      </c>
      <c r="B38" s="1"/>
      <c r="D38" s="8">
        <f>+D18</f>
        <v>482</v>
      </c>
      <c r="E38" s="8">
        <f t="shared" ref="E38:G38" si="14">+E18</f>
        <v>490.43500000000006</v>
      </c>
      <c r="F38" s="8">
        <f t="shared" si="14"/>
        <v>498.03674250000012</v>
      </c>
      <c r="G38" s="8">
        <f t="shared" si="14"/>
        <v>505.75631200875017</v>
      </c>
    </row>
    <row r="39" spans="1:7" x14ac:dyDescent="0.35">
      <c r="A39" s="1" t="s">
        <v>26</v>
      </c>
      <c r="B39" s="1"/>
      <c r="D39" s="5">
        <v>1</v>
      </c>
      <c r="E39" s="6">
        <f t="shared" ref="E39:G40" si="15">+D39</f>
        <v>1</v>
      </c>
      <c r="F39" s="6">
        <f t="shared" si="15"/>
        <v>1</v>
      </c>
      <c r="G39" s="6">
        <f t="shared" si="15"/>
        <v>1</v>
      </c>
    </row>
    <row r="40" spans="1:7" x14ac:dyDescent="0.35">
      <c r="A40" s="1" t="s">
        <v>27</v>
      </c>
      <c r="B40" s="1"/>
      <c r="D40" s="5">
        <v>2</v>
      </c>
      <c r="E40" s="6">
        <f t="shared" si="15"/>
        <v>2</v>
      </c>
      <c r="F40" s="6">
        <f t="shared" si="15"/>
        <v>2</v>
      </c>
      <c r="G40" s="6">
        <f t="shared" si="15"/>
        <v>2</v>
      </c>
    </row>
    <row r="41" spans="1:7" x14ac:dyDescent="0.35">
      <c r="A41" s="1" t="s">
        <v>16</v>
      </c>
      <c r="B41" s="1"/>
      <c r="D41" s="8">
        <f>+D39+D40</f>
        <v>3</v>
      </c>
      <c r="E41" s="8">
        <f t="shared" ref="E41:G41" si="16">+E39+E40</f>
        <v>3</v>
      </c>
      <c r="F41" s="8">
        <f t="shared" si="16"/>
        <v>3</v>
      </c>
      <c r="G41" s="8">
        <f t="shared" si="16"/>
        <v>3</v>
      </c>
    </row>
    <row r="42" spans="1:7" x14ac:dyDescent="0.35">
      <c r="A42" s="1" t="s">
        <v>28</v>
      </c>
      <c r="B42" s="1"/>
      <c r="D42" s="5">
        <v>920</v>
      </c>
      <c r="E42" s="6">
        <f>+D42*(1+E$5)</f>
        <v>936.1</v>
      </c>
      <c r="F42" s="6">
        <f t="shared" ref="F42:G42" si="17">+E42*(1+F$5)</f>
        <v>950.60955000000013</v>
      </c>
      <c r="G42" s="6">
        <f t="shared" si="17"/>
        <v>965.34399802500025</v>
      </c>
    </row>
    <row r="43" spans="1:7" x14ac:dyDescent="0.35">
      <c r="A43" s="1" t="s">
        <v>29</v>
      </c>
      <c r="B43" s="1"/>
      <c r="D43" s="5">
        <v>610</v>
      </c>
      <c r="E43" s="6">
        <f t="shared" ref="E43:G43" si="18">+D43*(1+E$5)</f>
        <v>620.67500000000007</v>
      </c>
      <c r="F43" s="6">
        <f t="shared" si="18"/>
        <v>630.2954625000001</v>
      </c>
      <c r="G43" s="6">
        <f t="shared" si="18"/>
        <v>640.0650421687501</v>
      </c>
    </row>
    <row r="44" spans="1:7" x14ac:dyDescent="0.35">
      <c r="A44" s="1" t="s">
        <v>18</v>
      </c>
      <c r="B44" s="1"/>
      <c r="C44" s="7"/>
      <c r="D44" s="6">
        <f t="shared" ref="D44:G44" si="19">+SUMPRODUCT(D39:D40,D42:D43)*12</f>
        <v>25680</v>
      </c>
      <c r="E44" s="6">
        <f t="shared" si="19"/>
        <v>26129.4</v>
      </c>
      <c r="F44" s="6">
        <f t="shared" si="19"/>
        <v>26534.405700000007</v>
      </c>
      <c r="G44" s="6">
        <f t="shared" si="19"/>
        <v>26945.688988350008</v>
      </c>
    </row>
    <row r="45" spans="1:7" x14ac:dyDescent="0.35">
      <c r="A45" s="1" t="s">
        <v>19</v>
      </c>
      <c r="B45" s="1"/>
      <c r="D45" s="6">
        <f>+D44*12.15%</f>
        <v>3120.12</v>
      </c>
      <c r="E45" s="6">
        <f t="shared" ref="E45:G45" si="20">+E44*12.15%</f>
        <v>3174.7221</v>
      </c>
      <c r="F45" s="6">
        <f t="shared" si="20"/>
        <v>3223.9302925500006</v>
      </c>
      <c r="G45" s="6">
        <f t="shared" si="20"/>
        <v>3273.9012120845259</v>
      </c>
    </row>
    <row r="46" spans="1:7" x14ac:dyDescent="0.35">
      <c r="A46" s="1" t="s">
        <v>20</v>
      </c>
      <c r="B46" s="1"/>
      <c r="D46" s="6">
        <f>+D44/12</f>
        <v>2140</v>
      </c>
      <c r="E46" s="6">
        <f t="shared" ref="E46:G46" si="21">+E44/12</f>
        <v>2177.4500000000003</v>
      </c>
      <c r="F46" s="6">
        <f t="shared" si="21"/>
        <v>2211.2004750000006</v>
      </c>
      <c r="G46" s="6">
        <f t="shared" si="21"/>
        <v>2245.4740823625007</v>
      </c>
    </row>
    <row r="47" spans="1:7" x14ac:dyDescent="0.35">
      <c r="A47" s="1" t="s">
        <v>21</v>
      </c>
      <c r="B47" s="1"/>
      <c r="D47" s="7">
        <f>+D38*D41</f>
        <v>1446</v>
      </c>
      <c r="E47" s="7">
        <f t="shared" ref="E47:G47" si="22">+E38*E41</f>
        <v>1471.3050000000003</v>
      </c>
      <c r="F47" s="7">
        <f t="shared" si="22"/>
        <v>1494.1102275000003</v>
      </c>
      <c r="G47" s="7">
        <f t="shared" si="22"/>
        <v>1517.2689360262505</v>
      </c>
    </row>
    <row r="48" spans="1:7" x14ac:dyDescent="0.35">
      <c r="A48" s="1" t="s">
        <v>22</v>
      </c>
      <c r="B48" s="1"/>
      <c r="D48" s="6">
        <f>+D44*8.33%</f>
        <v>2139.1439999999998</v>
      </c>
      <c r="E48" s="6">
        <f t="shared" ref="E48:G48" si="23">+E44*8.33%</f>
        <v>2176.5790200000001</v>
      </c>
      <c r="F48" s="6">
        <f t="shared" si="23"/>
        <v>2210.3159948100006</v>
      </c>
      <c r="G48" s="6">
        <f t="shared" si="23"/>
        <v>2244.5758927295556</v>
      </c>
    </row>
    <row r="49" spans="1:7" x14ac:dyDescent="0.35">
      <c r="D49" s="6"/>
    </row>
    <row r="50" spans="1:7" x14ac:dyDescent="0.35">
      <c r="A50" s="1" t="s">
        <v>12</v>
      </c>
      <c r="B50" s="1"/>
      <c r="D50" s="7">
        <f>SUM(D44:D49)</f>
        <v>34525.263999999996</v>
      </c>
      <c r="E50" s="7">
        <f t="shared" ref="E50:G50" si="24">SUM(E44:E49)</f>
        <v>35129.456119999995</v>
      </c>
      <c r="F50" s="7">
        <f t="shared" si="24"/>
        <v>35673.962689860011</v>
      </c>
      <c r="G50" s="7">
        <f t="shared" si="24"/>
        <v>36226.909111552835</v>
      </c>
    </row>
    <row r="53" spans="1:7" x14ac:dyDescent="0.35">
      <c r="A53" t="s">
        <v>30</v>
      </c>
      <c r="D53" s="5">
        <f>1200*12</f>
        <v>14400</v>
      </c>
      <c r="E53" s="6">
        <f>+D53*(1+E5)</f>
        <v>14652.000000000002</v>
      </c>
      <c r="F53" s="6">
        <f>+E53*(1+F5)</f>
        <v>14879.106000000003</v>
      </c>
      <c r="G53" s="6">
        <f>+F53*(1+G5)</f>
        <v>15109.732143000005</v>
      </c>
    </row>
    <row r="55" spans="1:7" x14ac:dyDescent="0.35">
      <c r="A55" t="s">
        <v>31</v>
      </c>
      <c r="D55" s="7">
        <f>SUM(D50:D54)</f>
        <v>48925.263999999996</v>
      </c>
      <c r="E55" s="7">
        <f>SUM(E50:E54)</f>
        <v>49781.456119999995</v>
      </c>
      <c r="F55" s="7">
        <f>SUM(F50:F54)</f>
        <v>50553.068689860011</v>
      </c>
      <c r="G55" s="7">
        <f>SUM(G50:G54)</f>
        <v>51336.641254552844</v>
      </c>
    </row>
    <row r="58" spans="1:7" s="1" customFormat="1" x14ac:dyDescent="0.35">
      <c r="A58" s="1" t="s">
        <v>32</v>
      </c>
    </row>
    <row r="59" spans="1:7" s="1" customFormat="1" x14ac:dyDescent="0.35">
      <c r="A59" s="1" t="s">
        <v>1</v>
      </c>
    </row>
    <row r="60" spans="1:7" s="1" customFormat="1" x14ac:dyDescent="0.35">
      <c r="A60" s="1" t="s">
        <v>33</v>
      </c>
      <c r="C60" s="2" t="s">
        <v>4</v>
      </c>
      <c r="D60" s="2" t="s">
        <v>5</v>
      </c>
      <c r="E60" s="2" t="s">
        <v>178</v>
      </c>
      <c r="F60" s="2" t="s">
        <v>177</v>
      </c>
      <c r="G60" s="2" t="s">
        <v>176</v>
      </c>
    </row>
    <row r="61" spans="1:7" x14ac:dyDescent="0.35">
      <c r="A61" t="s">
        <v>34</v>
      </c>
      <c r="F61" s="6">
        <v>59000</v>
      </c>
    </row>
    <row r="64" spans="1:7" s="1" customFormat="1" x14ac:dyDescent="0.35">
      <c r="A64" s="1" t="s">
        <v>35</v>
      </c>
    </row>
    <row r="65" spans="1:7" s="1" customFormat="1" x14ac:dyDescent="0.35">
      <c r="A65" s="1" t="s">
        <v>1</v>
      </c>
    </row>
    <row r="66" spans="1:7" s="1" customFormat="1" x14ac:dyDescent="0.35">
      <c r="A66" s="1" t="s">
        <v>36</v>
      </c>
      <c r="C66" s="2" t="s">
        <v>4</v>
      </c>
      <c r="D66" s="2" t="s">
        <v>5</v>
      </c>
      <c r="E66" s="2" t="s">
        <v>178</v>
      </c>
      <c r="F66" s="2" t="s">
        <v>177</v>
      </c>
      <c r="G66" s="2" t="s">
        <v>176</v>
      </c>
    </row>
    <row r="67" spans="1:7" x14ac:dyDescent="0.35">
      <c r="A67" t="s">
        <v>37</v>
      </c>
      <c r="C67" s="6"/>
      <c r="D67" s="6">
        <f>+C71</f>
        <v>120000</v>
      </c>
      <c r="E67" s="6">
        <f t="shared" ref="E67:G67" si="25">+D71</f>
        <v>120000</v>
      </c>
      <c r="F67" s="6">
        <f t="shared" si="25"/>
        <v>120000</v>
      </c>
      <c r="G67" s="6">
        <f t="shared" si="25"/>
        <v>120000</v>
      </c>
    </row>
    <row r="68" spans="1:7" x14ac:dyDescent="0.35">
      <c r="A68" t="s">
        <v>38</v>
      </c>
      <c r="C68" s="6"/>
      <c r="D68" s="6"/>
      <c r="E68" s="6"/>
      <c r="F68" s="6"/>
      <c r="G68" s="6"/>
    </row>
    <row r="69" spans="1:7" x14ac:dyDescent="0.35">
      <c r="A69" t="s">
        <v>12</v>
      </c>
      <c r="C69" s="6"/>
      <c r="D69" s="6">
        <f t="shared" ref="D69:G69" si="26">+D67+D68</f>
        <v>120000</v>
      </c>
      <c r="E69" s="6">
        <f t="shared" si="26"/>
        <v>120000</v>
      </c>
      <c r="F69" s="6">
        <f t="shared" si="26"/>
        <v>120000</v>
      </c>
      <c r="G69" s="6">
        <f t="shared" si="26"/>
        <v>120000</v>
      </c>
    </row>
    <row r="70" spans="1:7" x14ac:dyDescent="0.35">
      <c r="A70" t="s">
        <v>39</v>
      </c>
      <c r="C70" s="6"/>
      <c r="D70" s="6"/>
      <c r="E70" s="6"/>
      <c r="F70" s="6"/>
      <c r="G70" s="6"/>
    </row>
    <row r="71" spans="1:7" x14ac:dyDescent="0.35">
      <c r="A71" t="s">
        <v>40</v>
      </c>
      <c r="C71" s="5">
        <v>120000</v>
      </c>
      <c r="D71" s="6">
        <f>+D69-D70</f>
        <v>120000</v>
      </c>
      <c r="E71" s="6">
        <f t="shared" ref="E71:G71" si="27">+E69-E70</f>
        <v>120000</v>
      </c>
      <c r="F71" s="6">
        <f t="shared" si="27"/>
        <v>120000</v>
      </c>
      <c r="G71" s="6">
        <f t="shared" si="27"/>
        <v>120000</v>
      </c>
    </row>
    <row r="72" spans="1:7" x14ac:dyDescent="0.35">
      <c r="A72" t="s">
        <v>41</v>
      </c>
      <c r="C72" s="9">
        <v>8</v>
      </c>
    </row>
    <row r="75" spans="1:7" s="1" customFormat="1" x14ac:dyDescent="0.35">
      <c r="A75" s="1" t="s">
        <v>42</v>
      </c>
    </row>
    <row r="76" spans="1:7" s="1" customFormat="1" x14ac:dyDescent="0.35">
      <c r="A76" s="1" t="s">
        <v>1</v>
      </c>
    </row>
    <row r="77" spans="1:7" s="1" customFormat="1" x14ac:dyDescent="0.35">
      <c r="A77" s="1" t="s">
        <v>43</v>
      </c>
      <c r="C77" s="2" t="s">
        <v>4</v>
      </c>
      <c r="D77" s="2" t="s">
        <v>5</v>
      </c>
      <c r="E77" s="2" t="s">
        <v>178</v>
      </c>
      <c r="F77" s="2" t="s">
        <v>177</v>
      </c>
      <c r="G77" s="2" t="s">
        <v>176</v>
      </c>
    </row>
    <row r="78" spans="1:7" x14ac:dyDescent="0.35">
      <c r="A78" t="s">
        <v>37</v>
      </c>
      <c r="C78" s="6"/>
      <c r="D78" s="6">
        <f>+C82</f>
        <v>0</v>
      </c>
      <c r="E78" s="6">
        <f t="shared" ref="E78:G78" si="28">+D82</f>
        <v>0</v>
      </c>
      <c r="F78" s="6">
        <f t="shared" si="28"/>
        <v>0</v>
      </c>
      <c r="G78" s="6">
        <f t="shared" si="28"/>
        <v>59000</v>
      </c>
    </row>
    <row r="79" spans="1:7" x14ac:dyDescent="0.35">
      <c r="A79" t="s">
        <v>38</v>
      </c>
      <c r="C79" s="6"/>
      <c r="D79" s="6">
        <f t="shared" ref="D79:G79" si="29">+D61</f>
        <v>0</v>
      </c>
      <c r="E79" s="6">
        <f t="shared" si="29"/>
        <v>0</v>
      </c>
      <c r="F79" s="6">
        <f t="shared" si="29"/>
        <v>59000</v>
      </c>
      <c r="G79" s="6">
        <f t="shared" si="29"/>
        <v>0</v>
      </c>
    </row>
    <row r="80" spans="1:7" x14ac:dyDescent="0.35">
      <c r="A80" t="s">
        <v>12</v>
      </c>
      <c r="C80" s="6"/>
      <c r="D80" s="6">
        <f t="shared" ref="D80:G80" si="30">+D78+D79</f>
        <v>0</v>
      </c>
      <c r="E80" s="6">
        <f t="shared" si="30"/>
        <v>0</v>
      </c>
      <c r="F80" s="6">
        <f t="shared" si="30"/>
        <v>59000</v>
      </c>
      <c r="G80" s="6">
        <f t="shared" si="30"/>
        <v>59000</v>
      </c>
    </row>
    <row r="81" spans="1:7" x14ac:dyDescent="0.35">
      <c r="A81" t="s">
        <v>39</v>
      </c>
      <c r="C81" s="6"/>
      <c r="D81" s="6"/>
      <c r="E81" s="6"/>
      <c r="F81" s="6"/>
      <c r="G81" s="6"/>
    </row>
    <row r="82" spans="1:7" x14ac:dyDescent="0.35">
      <c r="A82" t="s">
        <v>40</v>
      </c>
      <c r="C82" s="5">
        <v>0</v>
      </c>
      <c r="D82" s="6">
        <f>+D80-D81</f>
        <v>0</v>
      </c>
      <c r="E82" s="6">
        <f t="shared" ref="E82:G82" si="31">+E80-E81</f>
        <v>0</v>
      </c>
      <c r="F82" s="6">
        <f t="shared" si="31"/>
        <v>59000</v>
      </c>
      <c r="G82" s="6">
        <f t="shared" si="31"/>
        <v>59000</v>
      </c>
    </row>
    <row r="83" spans="1:7" x14ac:dyDescent="0.35">
      <c r="A83" t="s">
        <v>41</v>
      </c>
      <c r="C83" s="9" t="s">
        <v>44</v>
      </c>
    </row>
    <row r="86" spans="1:7" s="1" customFormat="1" x14ac:dyDescent="0.35">
      <c r="A86" s="1" t="s">
        <v>45</v>
      </c>
    </row>
    <row r="87" spans="1:7" s="1" customFormat="1" x14ac:dyDescent="0.35">
      <c r="A87" s="1" t="s">
        <v>1</v>
      </c>
    </row>
    <row r="88" spans="1:7" s="1" customFormat="1" x14ac:dyDescent="0.35">
      <c r="A88" s="1" t="s">
        <v>46</v>
      </c>
      <c r="C88" s="2" t="s">
        <v>4</v>
      </c>
      <c r="D88" s="2" t="s">
        <v>5</v>
      </c>
      <c r="E88" s="2" t="s">
        <v>178</v>
      </c>
      <c r="F88" s="2" t="s">
        <v>177</v>
      </c>
      <c r="G88" s="2" t="s">
        <v>176</v>
      </c>
    </row>
    <row r="89" spans="1:7" x14ac:dyDescent="0.35">
      <c r="A89" t="s">
        <v>47</v>
      </c>
      <c r="D89" s="7">
        <f>+D12</f>
        <v>331982.86467050057</v>
      </c>
      <c r="E89" s="7">
        <f>+E12</f>
        <v>366297.29842135741</v>
      </c>
      <c r="F89" s="7">
        <f>+F12</f>
        <v>394427.60048804252</v>
      </c>
      <c r="G89" s="7">
        <f>+G12</f>
        <v>419170.76540679246</v>
      </c>
    </row>
    <row r="90" spans="1:7" x14ac:dyDescent="0.35">
      <c r="A90" t="s">
        <v>14</v>
      </c>
      <c r="D90" s="7">
        <f>+D33</f>
        <v>80609.279999999999</v>
      </c>
      <c r="E90" s="7">
        <f>+E33</f>
        <v>81757.4424</v>
      </c>
      <c r="F90" s="7">
        <f>+F33</f>
        <v>82792.182757200004</v>
      </c>
      <c r="G90" s="7">
        <f>+G33</f>
        <v>83842.961589936604</v>
      </c>
    </row>
    <row r="91" spans="1:7" x14ac:dyDescent="0.35">
      <c r="A91" t="s">
        <v>48</v>
      </c>
      <c r="D91" s="7">
        <f t="shared" ref="D91:G91" si="32">+D89-D90</f>
        <v>251373.58467050057</v>
      </c>
      <c r="E91" s="7">
        <f t="shared" si="32"/>
        <v>284539.85602135741</v>
      </c>
      <c r="F91" s="7">
        <f t="shared" si="32"/>
        <v>311635.41773084248</v>
      </c>
      <c r="G91" s="7">
        <f t="shared" si="32"/>
        <v>335327.80381685589</v>
      </c>
    </row>
    <row r="92" spans="1:7" x14ac:dyDescent="0.35">
      <c r="A92" t="s">
        <v>49</v>
      </c>
      <c r="D92" s="7">
        <f>+D55</f>
        <v>48925.263999999996</v>
      </c>
      <c r="E92" s="7">
        <f t="shared" ref="E92:G92" si="33">+E55</f>
        <v>49781.456119999995</v>
      </c>
      <c r="F92" s="7">
        <f t="shared" si="33"/>
        <v>50553.068689860011</v>
      </c>
      <c r="G92" s="7">
        <f t="shared" si="33"/>
        <v>51336.641254552844</v>
      </c>
    </row>
    <row r="93" spans="1:7" x14ac:dyDescent="0.35">
      <c r="A93" t="s">
        <v>50</v>
      </c>
      <c r="D93" s="7">
        <f>+D91-D92</f>
        <v>202448.32067050057</v>
      </c>
      <c r="E93" s="7">
        <f t="shared" ref="E93:G93" si="34">+E91-E92</f>
        <v>234758.39990135742</v>
      </c>
      <c r="F93" s="7">
        <f t="shared" si="34"/>
        <v>261082.34904098249</v>
      </c>
      <c r="G93" s="7">
        <f t="shared" si="34"/>
        <v>283991.16256230301</v>
      </c>
    </row>
    <row r="94" spans="1:7" x14ac:dyDescent="0.35">
      <c r="A94" t="s">
        <v>51</v>
      </c>
      <c r="D94" s="6">
        <f>+D93*15%</f>
        <v>30367.248100575085</v>
      </c>
      <c r="E94" s="6">
        <f t="shared" ref="E94:G94" si="35">+E93*15%</f>
        <v>35213.759985203615</v>
      </c>
      <c r="F94" s="6">
        <f t="shared" si="35"/>
        <v>39162.35235614737</v>
      </c>
      <c r="G94" s="6">
        <f t="shared" si="35"/>
        <v>42598.674384345453</v>
      </c>
    </row>
    <row r="95" spans="1:7" x14ac:dyDescent="0.35">
      <c r="A95" t="s">
        <v>52</v>
      </c>
      <c r="D95" s="7">
        <f>+D93-D94</f>
        <v>172081.07256992548</v>
      </c>
      <c r="E95" s="7">
        <f t="shared" ref="E95:G95" si="36">+E93-E94</f>
        <v>199544.6399161538</v>
      </c>
      <c r="F95" s="7">
        <f t="shared" si="36"/>
        <v>221919.99668483512</v>
      </c>
      <c r="G95" s="7">
        <f t="shared" si="36"/>
        <v>241392.48817795757</v>
      </c>
    </row>
    <row r="96" spans="1:7" x14ac:dyDescent="0.35">
      <c r="A96" t="s">
        <v>53</v>
      </c>
      <c r="D96" s="6">
        <f>+D95*25%</f>
        <v>43020.268142481371</v>
      </c>
      <c r="E96" s="6">
        <f t="shared" ref="E96:G96" si="37">+E95*25%</f>
        <v>49886.15997903845</v>
      </c>
      <c r="F96" s="6">
        <f t="shared" si="37"/>
        <v>55479.999171208779</v>
      </c>
      <c r="G96" s="6">
        <f t="shared" si="37"/>
        <v>60348.122044489392</v>
      </c>
    </row>
    <row r="97" spans="1:13" x14ac:dyDescent="0.35">
      <c r="A97" t="s">
        <v>54</v>
      </c>
      <c r="D97" s="7">
        <f>+D95-D96</f>
        <v>129060.80442744412</v>
      </c>
      <c r="E97" s="7">
        <f t="shared" ref="E97:G97" si="38">+E95-E96</f>
        <v>149658.47993711533</v>
      </c>
      <c r="F97" s="7">
        <f t="shared" si="38"/>
        <v>166439.99751362635</v>
      </c>
      <c r="G97" s="7">
        <f t="shared" si="38"/>
        <v>181044.36613346817</v>
      </c>
    </row>
    <row r="98" spans="1:13" x14ac:dyDescent="0.35">
      <c r="A98" t="s">
        <v>55</v>
      </c>
      <c r="D98" s="6">
        <f>+D97*0.1</f>
        <v>12906.080442744413</v>
      </c>
      <c r="E98" s="6">
        <f t="shared" ref="E98:G98" si="39">+E97*0.1</f>
        <v>14965.847993711533</v>
      </c>
      <c r="F98" s="6">
        <f t="shared" si="39"/>
        <v>16643.999751362637</v>
      </c>
      <c r="G98" s="6">
        <f t="shared" si="39"/>
        <v>18104.436613346817</v>
      </c>
    </row>
    <row r="99" spans="1:13" x14ac:dyDescent="0.35">
      <c r="A99" t="s">
        <v>56</v>
      </c>
      <c r="D99" s="7">
        <f>+D97-D98</f>
        <v>116154.72398469971</v>
      </c>
      <c r="E99" s="7">
        <f t="shared" ref="E99:G99" si="40">+E97-E98</f>
        <v>134692.6319434038</v>
      </c>
      <c r="F99" s="7">
        <f t="shared" si="40"/>
        <v>149795.99776226372</v>
      </c>
      <c r="G99" s="7">
        <f t="shared" si="40"/>
        <v>162939.92952012134</v>
      </c>
      <c r="I99" t="s">
        <v>179</v>
      </c>
    </row>
    <row r="100" spans="1:13" x14ac:dyDescent="0.35">
      <c r="I100" t="s">
        <v>180</v>
      </c>
    </row>
    <row r="101" spans="1:13" x14ac:dyDescent="0.35">
      <c r="I101" t="s">
        <v>181</v>
      </c>
    </row>
    <row r="102" spans="1:13" s="1" customFormat="1" x14ac:dyDescent="0.35">
      <c r="A102" s="1" t="s">
        <v>57</v>
      </c>
      <c r="I102" s="1" t="s">
        <v>182</v>
      </c>
    </row>
    <row r="103" spans="1:13" s="1" customFormat="1" x14ac:dyDescent="0.35">
      <c r="A103" s="1" t="s">
        <v>1</v>
      </c>
    </row>
    <row r="104" spans="1:13" s="1" customFormat="1" x14ac:dyDescent="0.35">
      <c r="A104" s="14" t="s">
        <v>58</v>
      </c>
      <c r="C104" s="2" t="s">
        <v>4</v>
      </c>
      <c r="D104" s="2" t="s">
        <v>5</v>
      </c>
      <c r="E104" s="2" t="s">
        <v>178</v>
      </c>
      <c r="F104" s="2" t="s">
        <v>177</v>
      </c>
      <c r="G104" s="2" t="s">
        <v>176</v>
      </c>
      <c r="J104" s="1" t="s">
        <v>39</v>
      </c>
      <c r="K104" s="16">
        <f>+D12</f>
        <v>331982.86467050057</v>
      </c>
      <c r="L104" s="14">
        <f>+K104*(1+0.12-0.0875-0.12*70%)</f>
        <v>314885.74713996984</v>
      </c>
    </row>
    <row r="105" spans="1:13" x14ac:dyDescent="0.35">
      <c r="A105" t="s">
        <v>59</v>
      </c>
      <c r="D105" s="7">
        <f>+C123</f>
        <v>1000</v>
      </c>
      <c r="E105" s="7">
        <f t="shared" ref="E105:G105" si="41">+D123</f>
        <v>211461.01763457613</v>
      </c>
      <c r="F105" s="7">
        <f t="shared" si="41"/>
        <v>387032.63606629416</v>
      </c>
      <c r="G105" s="7">
        <f t="shared" si="41"/>
        <v>518361.1218538633</v>
      </c>
      <c r="J105" t="s">
        <v>117</v>
      </c>
      <c r="K105" s="6">
        <f>+K104*0.12</f>
        <v>39837.943760460068</v>
      </c>
    </row>
    <row r="106" spans="1:13" x14ac:dyDescent="0.35">
      <c r="A106" s="1" t="s">
        <v>60</v>
      </c>
      <c r="B106" s="1"/>
      <c r="D106" s="6">
        <f>+D12*(1+15%*(1-70%)-2.75%)</f>
        <v>337792.56480223429</v>
      </c>
      <c r="E106" s="6">
        <f t="shared" ref="E106:G106" si="42">+E12*(1+15%*(1-70%)-2.75%)</f>
        <v>372707.50114373112</v>
      </c>
      <c r="F106" s="6">
        <f t="shared" si="42"/>
        <v>401330.08349658322</v>
      </c>
      <c r="G106" s="6">
        <f t="shared" si="42"/>
        <v>426506.25380141125</v>
      </c>
      <c r="K106" s="6"/>
    </row>
    <row r="107" spans="1:13" x14ac:dyDescent="0.35">
      <c r="A107" s="1" t="s">
        <v>61</v>
      </c>
      <c r="B107" s="1"/>
      <c r="D107" s="7">
        <f>+D105+D106</f>
        <v>338792.56480223429</v>
      </c>
      <c r="E107" s="7">
        <f t="shared" ref="E107:G107" si="43">+E105+E106</f>
        <v>584168.51877830725</v>
      </c>
      <c r="F107" s="7">
        <f t="shared" si="43"/>
        <v>788362.71956287744</v>
      </c>
      <c r="G107" s="7">
        <f t="shared" si="43"/>
        <v>944867.37565527461</v>
      </c>
      <c r="J107" t="s">
        <v>119</v>
      </c>
      <c r="K107" s="6">
        <f>+K104*8.75%</f>
        <v>29048.500658668796</v>
      </c>
    </row>
    <row r="108" spans="1:13" x14ac:dyDescent="0.35">
      <c r="A108" s="1" t="s">
        <v>62</v>
      </c>
      <c r="B108" s="1"/>
      <c r="D108" s="6"/>
      <c r="J108" t="s">
        <v>118</v>
      </c>
      <c r="K108" s="6">
        <f>+K105*70%</f>
        <v>27886.560632322045</v>
      </c>
      <c r="M108">
        <v>100</v>
      </c>
    </row>
    <row r="109" spans="1:13" x14ac:dyDescent="0.35">
      <c r="A109" s="1" t="s">
        <v>18</v>
      </c>
      <c r="B109" s="1"/>
      <c r="C109" s="7"/>
      <c r="D109" s="7">
        <f>+(D21+D44)*(1-9.45%)</f>
        <v>53678.04</v>
      </c>
      <c r="E109" s="7">
        <f t="shared" ref="E109:G109" si="44">+(E21+E44)*(1-9.45%)</f>
        <v>54617.405700000003</v>
      </c>
      <c r="F109" s="7">
        <f t="shared" si="44"/>
        <v>55463.975488350006</v>
      </c>
      <c r="G109" s="7">
        <f t="shared" si="44"/>
        <v>56323.667108419431</v>
      </c>
      <c r="K109" s="17">
        <f>+K104+K105-K107-K108</f>
        <v>314885.74713996978</v>
      </c>
      <c r="M109">
        <v>9.4499999999999993</v>
      </c>
    </row>
    <row r="110" spans="1:13" x14ac:dyDescent="0.35">
      <c r="A110" s="1" t="s">
        <v>19</v>
      </c>
      <c r="B110" s="1"/>
      <c r="D110" s="7">
        <f>+D172</f>
        <v>11737.439999999999</v>
      </c>
      <c r="E110" s="7">
        <f t="shared" ref="E110:G110" si="45">+E172</f>
        <v>13009.885199999997</v>
      </c>
      <c r="F110" s="7">
        <f t="shared" si="45"/>
        <v>13213.6725006</v>
      </c>
      <c r="G110" s="7">
        <f t="shared" si="45"/>
        <v>13418.4844243593</v>
      </c>
      <c r="M110">
        <f>+M108-M109</f>
        <v>90.55</v>
      </c>
    </row>
    <row r="111" spans="1:13" x14ac:dyDescent="0.35">
      <c r="A111" s="1" t="s">
        <v>20</v>
      </c>
      <c r="B111" s="1"/>
      <c r="D111" s="7">
        <f t="shared" ref="D111:G113" si="46">+D23+D46</f>
        <v>4940</v>
      </c>
      <c r="E111" s="7">
        <f t="shared" si="46"/>
        <v>5026.4500000000007</v>
      </c>
      <c r="F111" s="7">
        <f t="shared" si="46"/>
        <v>5104.3599750000012</v>
      </c>
      <c r="G111" s="7">
        <f t="shared" si="46"/>
        <v>5183.4775546125011</v>
      </c>
    </row>
    <row r="112" spans="1:13" x14ac:dyDescent="0.35">
      <c r="A112" s="1" t="s">
        <v>21</v>
      </c>
      <c r="B112" s="1"/>
      <c r="D112" s="7">
        <f t="shared" si="46"/>
        <v>3374</v>
      </c>
      <c r="E112" s="7">
        <f t="shared" si="46"/>
        <v>3433.0450000000005</v>
      </c>
      <c r="F112" s="7">
        <f t="shared" si="46"/>
        <v>3486.257197500001</v>
      </c>
      <c r="G112" s="7">
        <f t="shared" si="46"/>
        <v>3540.2941840612511</v>
      </c>
    </row>
    <row r="113" spans="1:7" x14ac:dyDescent="0.35">
      <c r="A113" s="1" t="s">
        <v>22</v>
      </c>
      <c r="B113" s="1"/>
      <c r="D113" s="7">
        <f t="shared" si="46"/>
        <v>4938.0239999999994</v>
      </c>
      <c r="E113" s="7">
        <f t="shared" si="46"/>
        <v>5024.4394200000006</v>
      </c>
      <c r="F113" s="7">
        <f t="shared" si="46"/>
        <v>5102.318231010001</v>
      </c>
      <c r="G113" s="7">
        <f t="shared" si="46"/>
        <v>5181.404163590656</v>
      </c>
    </row>
    <row r="114" spans="1:7" x14ac:dyDescent="0.35">
      <c r="A114" t="s">
        <v>63</v>
      </c>
      <c r="D114" s="7">
        <f>+D29*(1+15%*(1-30%)-1.75%)</f>
        <v>22185</v>
      </c>
      <c r="E114" s="7">
        <f t="shared" ref="E114:G114" si="47">+E29*(1+15%*(1-30%)-1.75%)</f>
        <v>22573.237499999999</v>
      </c>
      <c r="F114" s="7">
        <f t="shared" si="47"/>
        <v>22923.122681249999</v>
      </c>
      <c r="G114" s="7">
        <f t="shared" si="47"/>
        <v>23278.431082809377</v>
      </c>
    </row>
    <row r="115" spans="1:7" x14ac:dyDescent="0.35">
      <c r="A115" t="str">
        <f t="shared" ref="A115" si="48">+A53</f>
        <v>mantenimiento</v>
      </c>
      <c r="D115" s="6">
        <f>+D53*(1+15%*(1-70%)-2.75%)</f>
        <v>14651.999999999998</v>
      </c>
      <c r="E115" s="6">
        <f t="shared" ref="E115:G115" si="49">+E53*(1+15%*(1-70%)-2.75%)</f>
        <v>14908.41</v>
      </c>
      <c r="F115" s="6">
        <f t="shared" si="49"/>
        <v>15139.490355000002</v>
      </c>
      <c r="G115" s="6">
        <f t="shared" si="49"/>
        <v>15374.152455502503</v>
      </c>
    </row>
    <row r="116" spans="1:7" x14ac:dyDescent="0.35">
      <c r="A116" t="s">
        <v>34</v>
      </c>
      <c r="D116" s="6">
        <f>+D61</f>
        <v>0</v>
      </c>
      <c r="E116" s="6">
        <f t="shared" ref="E116:G116" si="50">+E61</f>
        <v>0</v>
      </c>
      <c r="F116" s="6">
        <f t="shared" si="50"/>
        <v>59000</v>
      </c>
      <c r="G116" s="6">
        <f t="shared" si="50"/>
        <v>0</v>
      </c>
    </row>
    <row r="117" spans="1:7" x14ac:dyDescent="0.35">
      <c r="A117" t="s">
        <v>51</v>
      </c>
      <c r="D117" s="7">
        <f>+D131</f>
        <v>0</v>
      </c>
      <c r="E117" s="7">
        <f t="shared" ref="E117:G117" si="51">+E131</f>
        <v>30367.248100575085</v>
      </c>
      <c r="F117" s="7">
        <f t="shared" si="51"/>
        <v>35213.759985203607</v>
      </c>
      <c r="G117" s="7">
        <f t="shared" si="51"/>
        <v>39162.35235614737</v>
      </c>
    </row>
    <row r="118" spans="1:7" x14ac:dyDescent="0.35">
      <c r="A118" t="s">
        <v>53</v>
      </c>
      <c r="D118" s="7">
        <f>+D140-D149</f>
        <v>0</v>
      </c>
      <c r="E118" s="7">
        <f>+E140-E149</f>
        <v>33890.739364042602</v>
      </c>
      <c r="F118" s="7">
        <f>+F140-F149</f>
        <v>39812.984272451125</v>
      </c>
      <c r="G118" s="7">
        <f>+G140-G149</f>
        <v>44633.240157787601</v>
      </c>
    </row>
    <row r="119" spans="1:7" x14ac:dyDescent="0.35">
      <c r="A119" t="s">
        <v>64</v>
      </c>
      <c r="D119" s="7">
        <f>+D162</f>
        <v>11136.793167658148</v>
      </c>
      <c r="E119" s="7">
        <f t="shared" ref="E119:G119" si="52">+E162</f>
        <v>13519.943052395371</v>
      </c>
      <c r="F119" s="7">
        <f t="shared" si="52"/>
        <v>14764.593417336851</v>
      </c>
      <c r="G119" s="7">
        <f t="shared" si="52"/>
        <v>15846.110623421289</v>
      </c>
    </row>
    <row r="120" spans="1:7" x14ac:dyDescent="0.35">
      <c r="A120" t="s">
        <v>65</v>
      </c>
      <c r="D120" s="7">
        <f>+D182</f>
        <v>690.25</v>
      </c>
      <c r="E120" s="7">
        <f t="shared" ref="E120:G120" si="53">+E182</f>
        <v>765.07937500000014</v>
      </c>
      <c r="F120" s="7">
        <f t="shared" si="53"/>
        <v>777.06360531250016</v>
      </c>
      <c r="G120" s="7">
        <f t="shared" si="53"/>
        <v>789.10809119484395</v>
      </c>
    </row>
    <row r="122" spans="1:7" x14ac:dyDescent="0.35">
      <c r="A122" t="s">
        <v>66</v>
      </c>
      <c r="D122" s="7">
        <f>SUM(D109:D121)</f>
        <v>127331.54716765815</v>
      </c>
      <c r="E122" s="7">
        <f t="shared" ref="E122:G122" si="54">SUM(E109:E121)</f>
        <v>197135.88271201306</v>
      </c>
      <c r="F122" s="7">
        <f t="shared" si="54"/>
        <v>270001.59770901414</v>
      </c>
      <c r="G122" s="7">
        <f t="shared" si="54"/>
        <v>222730.72220190614</v>
      </c>
    </row>
    <row r="123" spans="1:7" x14ac:dyDescent="0.35">
      <c r="A123" t="s">
        <v>40</v>
      </c>
      <c r="C123" s="5">
        <v>1000</v>
      </c>
      <c r="D123" s="7">
        <f>+D107-D122</f>
        <v>211461.01763457613</v>
      </c>
      <c r="E123" s="7">
        <f>+E107-E122</f>
        <v>387032.63606629416</v>
      </c>
      <c r="F123" s="7">
        <f t="shared" ref="F123:G123" si="55">+F107-F122</f>
        <v>518361.1218538633</v>
      </c>
      <c r="G123" s="7">
        <f t="shared" si="55"/>
        <v>722136.65345336846</v>
      </c>
    </row>
    <row r="125" spans="1:7" s="1" customFormat="1" x14ac:dyDescent="0.35">
      <c r="A125" s="1" t="s">
        <v>67</v>
      </c>
    </row>
    <row r="126" spans="1:7" s="1" customFormat="1" x14ac:dyDescent="0.35">
      <c r="A126" s="1" t="s">
        <v>1</v>
      </c>
    </row>
    <row r="127" spans="1:7" s="1" customFormat="1" x14ac:dyDescent="0.35">
      <c r="A127" s="1" t="s">
        <v>68</v>
      </c>
      <c r="C127" s="2" t="s">
        <v>4</v>
      </c>
      <c r="D127" s="2" t="s">
        <v>5</v>
      </c>
      <c r="E127" s="2" t="s">
        <v>178</v>
      </c>
      <c r="F127" s="2" t="s">
        <v>177</v>
      </c>
      <c r="G127" s="2" t="s">
        <v>176</v>
      </c>
    </row>
    <row r="128" spans="1:7" x14ac:dyDescent="0.35">
      <c r="A128" t="s">
        <v>37</v>
      </c>
      <c r="C128" s="6"/>
      <c r="D128" s="6">
        <f>+C132</f>
        <v>0</v>
      </c>
      <c r="E128" s="6">
        <f t="shared" ref="E128:G128" si="56">+D132</f>
        <v>30367.248100575085</v>
      </c>
      <c r="F128" s="6">
        <f t="shared" si="56"/>
        <v>35213.759985203607</v>
      </c>
      <c r="G128" s="6">
        <f t="shared" si="56"/>
        <v>39162.35235614737</v>
      </c>
    </row>
    <row r="129" spans="1:7" x14ac:dyDescent="0.35">
      <c r="A129" t="s">
        <v>69</v>
      </c>
      <c r="C129" s="6"/>
      <c r="D129" s="6">
        <f>+D94</f>
        <v>30367.248100575085</v>
      </c>
      <c r="E129" s="6">
        <f>+E94</f>
        <v>35213.759985203615</v>
      </c>
      <c r="F129" s="6">
        <f>+F94</f>
        <v>39162.35235614737</v>
      </c>
      <c r="G129" s="6">
        <f>+G94</f>
        <v>42598.674384345453</v>
      </c>
    </row>
    <row r="130" spans="1:7" x14ac:dyDescent="0.35">
      <c r="A130" t="s">
        <v>12</v>
      </c>
      <c r="C130" s="6"/>
      <c r="D130" s="6">
        <f t="shared" ref="D130:G130" si="57">+D128+D129</f>
        <v>30367.248100575085</v>
      </c>
      <c r="E130" s="6">
        <f t="shared" si="57"/>
        <v>65581.008085778696</v>
      </c>
      <c r="F130" s="6">
        <f t="shared" si="57"/>
        <v>74376.112341350978</v>
      </c>
      <c r="G130" s="6">
        <f t="shared" si="57"/>
        <v>81761.026740492816</v>
      </c>
    </row>
    <row r="131" spans="1:7" x14ac:dyDescent="0.35">
      <c r="A131" t="s">
        <v>62</v>
      </c>
      <c r="C131" s="6"/>
      <c r="D131" s="6">
        <f>+C132</f>
        <v>0</v>
      </c>
      <c r="E131" s="6">
        <f t="shared" ref="E131:G131" si="58">+D132</f>
        <v>30367.248100575085</v>
      </c>
      <c r="F131" s="6">
        <f t="shared" si="58"/>
        <v>35213.759985203607</v>
      </c>
      <c r="G131" s="6">
        <f t="shared" si="58"/>
        <v>39162.35235614737</v>
      </c>
    </row>
    <row r="132" spans="1:7" x14ac:dyDescent="0.35">
      <c r="A132" t="s">
        <v>40</v>
      </c>
      <c r="C132" s="5">
        <v>0</v>
      </c>
      <c r="D132" s="6">
        <f>+D130-D131</f>
        <v>30367.248100575085</v>
      </c>
      <c r="E132" s="6">
        <f t="shared" ref="E132:G132" si="59">+E130-E131</f>
        <v>35213.759985203607</v>
      </c>
      <c r="F132" s="6">
        <f t="shared" si="59"/>
        <v>39162.35235614737</v>
      </c>
      <c r="G132" s="6">
        <f t="shared" si="59"/>
        <v>42598.674384345446</v>
      </c>
    </row>
    <row r="134" spans="1:7" s="1" customFormat="1" x14ac:dyDescent="0.35">
      <c r="A134" s="1" t="s">
        <v>70</v>
      </c>
    </row>
    <row r="135" spans="1:7" s="1" customFormat="1" x14ac:dyDescent="0.35">
      <c r="A135" s="1" t="s">
        <v>1</v>
      </c>
    </row>
    <row r="136" spans="1:7" s="1" customFormat="1" x14ac:dyDescent="0.35">
      <c r="A136" s="1" t="s">
        <v>120</v>
      </c>
      <c r="C136" s="2" t="s">
        <v>4</v>
      </c>
      <c r="D136" s="2" t="s">
        <v>5</v>
      </c>
      <c r="E136" s="2" t="s">
        <v>178</v>
      </c>
      <c r="F136" s="2" t="s">
        <v>177</v>
      </c>
      <c r="G136" s="2" t="s">
        <v>176</v>
      </c>
    </row>
    <row r="137" spans="1:7" x14ac:dyDescent="0.35">
      <c r="A137" t="s">
        <v>37</v>
      </c>
      <c r="C137" s="6"/>
      <c r="D137" s="6">
        <f>+C141</f>
        <v>0</v>
      </c>
      <c r="E137" s="6">
        <f t="shared" ref="E137:G137" si="60">+D141</f>
        <v>43020.268142481371</v>
      </c>
      <c r="F137" s="6">
        <f t="shared" si="60"/>
        <v>49886.159979038457</v>
      </c>
      <c r="G137" s="6">
        <f t="shared" si="60"/>
        <v>55479.999171208772</v>
      </c>
    </row>
    <row r="138" spans="1:7" x14ac:dyDescent="0.35">
      <c r="A138" t="s">
        <v>69</v>
      </c>
      <c r="C138" s="6"/>
      <c r="D138" s="6">
        <f>+D96</f>
        <v>43020.268142481371</v>
      </c>
      <c r="E138" s="6">
        <f>+E96</f>
        <v>49886.15997903845</v>
      </c>
      <c r="F138" s="6">
        <f>+F96</f>
        <v>55479.999171208779</v>
      </c>
      <c r="G138" s="6">
        <f>+G96</f>
        <v>60348.122044489392</v>
      </c>
    </row>
    <row r="139" spans="1:7" x14ac:dyDescent="0.35">
      <c r="A139" t="s">
        <v>12</v>
      </c>
      <c r="C139" s="6"/>
      <c r="D139" s="6">
        <f t="shared" ref="D139:G139" si="61">+D137+D138</f>
        <v>43020.268142481371</v>
      </c>
      <c r="E139" s="6">
        <f t="shared" si="61"/>
        <v>92906.428121519828</v>
      </c>
      <c r="F139" s="6">
        <f t="shared" si="61"/>
        <v>105366.15915024723</v>
      </c>
      <c r="G139" s="6">
        <f t="shared" si="61"/>
        <v>115828.12121569816</v>
      </c>
    </row>
    <row r="140" spans="1:7" x14ac:dyDescent="0.35">
      <c r="A140" t="s">
        <v>62</v>
      </c>
      <c r="C140" s="6"/>
      <c r="D140" s="6">
        <f>+C141</f>
        <v>0</v>
      </c>
      <c r="E140" s="6">
        <f t="shared" ref="E140:G140" si="62">+D141</f>
        <v>43020.268142481371</v>
      </c>
      <c r="F140" s="6">
        <f t="shared" si="62"/>
        <v>49886.159979038457</v>
      </c>
      <c r="G140" s="6">
        <f t="shared" si="62"/>
        <v>55479.999171208772</v>
      </c>
    </row>
    <row r="141" spans="1:7" x14ac:dyDescent="0.35">
      <c r="A141" t="s">
        <v>40</v>
      </c>
      <c r="C141" s="5">
        <v>0</v>
      </c>
      <c r="D141" s="6">
        <f>+D139-D140</f>
        <v>43020.268142481371</v>
      </c>
      <c r="E141" s="6">
        <f t="shared" ref="E141:G141" si="63">+E139-E140</f>
        <v>49886.159979038457</v>
      </c>
      <c r="F141" s="6">
        <f t="shared" si="63"/>
        <v>55479.999171208772</v>
      </c>
      <c r="G141" s="6">
        <f t="shared" si="63"/>
        <v>60348.122044489392</v>
      </c>
    </row>
    <row r="143" spans="1:7" s="1" customFormat="1" x14ac:dyDescent="0.35">
      <c r="A143" s="1" t="s">
        <v>71</v>
      </c>
      <c r="E143" s="15">
        <f>+E140-E149</f>
        <v>33890.739364042602</v>
      </c>
    </row>
    <row r="144" spans="1:7" s="1" customFormat="1" x14ac:dyDescent="0.35">
      <c r="A144" s="1" t="s">
        <v>1</v>
      </c>
    </row>
    <row r="145" spans="1:7" s="1" customFormat="1" x14ac:dyDescent="0.35">
      <c r="A145" s="1" t="s">
        <v>72</v>
      </c>
      <c r="C145" s="2" t="s">
        <v>4</v>
      </c>
      <c r="D145" s="2" t="s">
        <v>5</v>
      </c>
      <c r="E145" s="2" t="s">
        <v>178</v>
      </c>
      <c r="F145" s="2" t="s">
        <v>177</v>
      </c>
      <c r="G145" s="2" t="s">
        <v>176</v>
      </c>
    </row>
    <row r="146" spans="1:7" x14ac:dyDescent="0.35">
      <c r="A146" t="s">
        <v>37</v>
      </c>
      <c r="C146" s="6"/>
      <c r="D146" s="6">
        <f>+C150</f>
        <v>0</v>
      </c>
      <c r="E146" s="6">
        <f t="shared" ref="E146:G146" si="64">+D150</f>
        <v>9129.5287784387656</v>
      </c>
      <c r="F146" s="6">
        <f t="shared" si="64"/>
        <v>10073.175706587328</v>
      </c>
      <c r="G146" s="6">
        <f t="shared" si="64"/>
        <v>10846.759013421168</v>
      </c>
    </row>
    <row r="147" spans="1:7" x14ac:dyDescent="0.35">
      <c r="A147" t="s">
        <v>69</v>
      </c>
      <c r="C147" s="6"/>
      <c r="D147" s="6">
        <f>+D12*2.75%</f>
        <v>9129.5287784387656</v>
      </c>
      <c r="E147" s="6">
        <f t="shared" ref="E147:G147" si="65">+E12*2.75%</f>
        <v>10073.175706587328</v>
      </c>
      <c r="F147" s="6">
        <f t="shared" si="65"/>
        <v>10846.75901342117</v>
      </c>
      <c r="G147" s="6">
        <f t="shared" si="65"/>
        <v>11527.196048686792</v>
      </c>
    </row>
    <row r="148" spans="1:7" x14ac:dyDescent="0.35">
      <c r="A148" t="s">
        <v>12</v>
      </c>
      <c r="C148" s="6"/>
      <c r="D148" s="6">
        <f t="shared" ref="D148:G148" si="66">+D146+D147</f>
        <v>9129.5287784387656</v>
      </c>
      <c r="E148" s="6">
        <f t="shared" si="66"/>
        <v>19202.704485026094</v>
      </c>
      <c r="F148" s="6">
        <f t="shared" si="66"/>
        <v>20919.934720008496</v>
      </c>
      <c r="G148" s="6">
        <f t="shared" si="66"/>
        <v>22373.955062107962</v>
      </c>
    </row>
    <row r="149" spans="1:7" x14ac:dyDescent="0.35">
      <c r="A149" t="s">
        <v>62</v>
      </c>
      <c r="C149" s="6"/>
      <c r="D149" s="6">
        <f>+C150</f>
        <v>0</v>
      </c>
      <c r="E149" s="6">
        <f t="shared" ref="E149:G149" si="67">+D150</f>
        <v>9129.5287784387656</v>
      </c>
      <c r="F149" s="6">
        <f t="shared" si="67"/>
        <v>10073.175706587328</v>
      </c>
      <c r="G149" s="6">
        <f t="shared" si="67"/>
        <v>10846.759013421168</v>
      </c>
    </row>
    <row r="150" spans="1:7" x14ac:dyDescent="0.35">
      <c r="A150" t="s">
        <v>40</v>
      </c>
      <c r="C150" s="5">
        <v>0</v>
      </c>
      <c r="D150" s="6">
        <f>+D148-D149</f>
        <v>9129.5287784387656</v>
      </c>
      <c r="E150" s="6">
        <f t="shared" ref="E150:G150" si="68">+E148-E149</f>
        <v>10073.175706587328</v>
      </c>
      <c r="F150" s="6">
        <f t="shared" si="68"/>
        <v>10846.759013421168</v>
      </c>
      <c r="G150" s="6">
        <f t="shared" si="68"/>
        <v>11527.196048686794</v>
      </c>
    </row>
    <row r="152" spans="1:7" x14ac:dyDescent="0.35">
      <c r="E152" s="7">
        <f>+E140-E149</f>
        <v>33890.739364042602</v>
      </c>
      <c r="F152" s="7">
        <f t="shared" ref="F152:G152" si="69">+F140-F149</f>
        <v>39812.984272451125</v>
      </c>
      <c r="G152" s="7">
        <f t="shared" si="69"/>
        <v>44633.240157787601</v>
      </c>
    </row>
    <row r="153" spans="1:7" s="1" customFormat="1" x14ac:dyDescent="0.35">
      <c r="A153" s="1" t="s">
        <v>73</v>
      </c>
    </row>
    <row r="154" spans="1:7" s="1" customFormat="1" x14ac:dyDescent="0.35">
      <c r="A154" s="1" t="s">
        <v>1</v>
      </c>
    </row>
    <row r="155" spans="1:7" s="1" customFormat="1" x14ac:dyDescent="0.35">
      <c r="A155" s="1" t="s">
        <v>74</v>
      </c>
      <c r="C155" s="2" t="s">
        <v>4</v>
      </c>
      <c r="D155" s="2" t="s">
        <v>5</v>
      </c>
      <c r="E155" s="2" t="s">
        <v>178</v>
      </c>
      <c r="F155" s="2" t="s">
        <v>177</v>
      </c>
      <c r="G155" s="2" t="s">
        <v>176</v>
      </c>
    </row>
    <row r="156" spans="1:7" x14ac:dyDescent="0.35">
      <c r="A156" t="s">
        <v>37</v>
      </c>
      <c r="C156" s="6"/>
      <c r="D156" s="6">
        <f>+C163</f>
        <v>0</v>
      </c>
      <c r="E156" s="6">
        <f t="shared" ref="E156:G156" si="70">+D163</f>
        <v>1012.4357425143771</v>
      </c>
      <c r="F156" s="6">
        <f t="shared" si="70"/>
        <v>1137.0461190800904</v>
      </c>
      <c r="G156" s="6">
        <f t="shared" si="70"/>
        <v>1238.8679362051598</v>
      </c>
    </row>
    <row r="157" spans="1:7" x14ac:dyDescent="0.35">
      <c r="A157" t="s">
        <v>75</v>
      </c>
      <c r="C157" s="6"/>
      <c r="D157" s="6">
        <f>+D12*15%</f>
        <v>49797.429700575085</v>
      </c>
      <c r="E157" s="6">
        <f t="shared" ref="E157:G157" si="71">+E12*15%</f>
        <v>54944.594763203611</v>
      </c>
      <c r="F157" s="6">
        <f t="shared" si="71"/>
        <v>59164.140073206378</v>
      </c>
      <c r="G157" s="6">
        <f t="shared" si="71"/>
        <v>62875.614811018866</v>
      </c>
    </row>
    <row r="158" spans="1:7" ht="14.25" customHeight="1" x14ac:dyDescent="0.35">
      <c r="A158" t="s">
        <v>76</v>
      </c>
      <c r="C158" s="6"/>
      <c r="D158" s="6">
        <f>+D157*70%</f>
        <v>34858.20079040256</v>
      </c>
      <c r="E158" s="6">
        <f t="shared" ref="E158:G158" si="72">+E157*70%</f>
        <v>38461.216334242527</v>
      </c>
      <c r="F158" s="6">
        <f t="shared" si="72"/>
        <v>41414.898051244461</v>
      </c>
      <c r="G158" s="6">
        <f t="shared" si="72"/>
        <v>44012.930367713205</v>
      </c>
    </row>
    <row r="159" spans="1:7" ht="14.25" customHeight="1" x14ac:dyDescent="0.35">
      <c r="A159" t="s">
        <v>77</v>
      </c>
      <c r="C159" s="6"/>
      <c r="D159" s="6">
        <f>+(D29+D53)*15%</f>
        <v>5220</v>
      </c>
      <c r="E159" s="6">
        <f t="shared" ref="E159:G159" si="73">+(E29+E53)*15%</f>
        <v>5311.3499999999995</v>
      </c>
      <c r="F159" s="6">
        <f t="shared" si="73"/>
        <v>5393.6759250000005</v>
      </c>
      <c r="G159" s="6">
        <f t="shared" si="73"/>
        <v>5477.2779018375013</v>
      </c>
    </row>
    <row r="160" spans="1:7" ht="14.25" customHeight="1" x14ac:dyDescent="0.35">
      <c r="A160" t="s">
        <v>78</v>
      </c>
      <c r="C160" s="6"/>
      <c r="D160" s="6">
        <f>+(D29*15%*30%+D53*15%*70%)</f>
        <v>2430</v>
      </c>
      <c r="E160" s="6">
        <f t="shared" ref="E160:G160" si="74">+(E29*15%*30%+E53*15%*70%)</f>
        <v>2472.5249999999996</v>
      </c>
      <c r="F160" s="6">
        <f t="shared" si="74"/>
        <v>2510.8491375000003</v>
      </c>
      <c r="G160" s="6">
        <f t="shared" si="74"/>
        <v>2549.7672991312502</v>
      </c>
    </row>
    <row r="161" spans="1:7" x14ac:dyDescent="0.35">
      <c r="A161" t="s">
        <v>12</v>
      </c>
      <c r="C161" s="6"/>
      <c r="D161" s="6">
        <f>+D156+D157-D158-D159+D160</f>
        <v>12149.228910172526</v>
      </c>
      <c r="E161" s="6">
        <f t="shared" ref="E161:G161" si="75">+E156+E157-E158-E159+E160</f>
        <v>14656.989171475461</v>
      </c>
      <c r="F161" s="6">
        <f t="shared" si="75"/>
        <v>16003.46135354201</v>
      </c>
      <c r="G161" s="6">
        <f t="shared" si="75"/>
        <v>17174.041776804574</v>
      </c>
    </row>
    <row r="162" spans="1:7" x14ac:dyDescent="0.35">
      <c r="A162" t="s">
        <v>62</v>
      </c>
      <c r="C162" s="6"/>
      <c r="D162" s="6">
        <f>+D161-D163</f>
        <v>11136.793167658148</v>
      </c>
      <c r="E162" s="6">
        <f t="shared" ref="E162:G162" si="76">+E161-E163</f>
        <v>13519.943052395371</v>
      </c>
      <c r="F162" s="6">
        <f t="shared" si="76"/>
        <v>14764.593417336851</v>
      </c>
      <c r="G162" s="6">
        <f t="shared" si="76"/>
        <v>15846.110623421289</v>
      </c>
    </row>
    <row r="163" spans="1:7" x14ac:dyDescent="0.35">
      <c r="A163" t="s">
        <v>40</v>
      </c>
      <c r="C163" s="5">
        <v>0</v>
      </c>
      <c r="D163" s="6">
        <f>+(D157-D158-D159+D160)/12</f>
        <v>1012.4357425143771</v>
      </c>
      <c r="E163" s="6">
        <f t="shared" ref="E163:G163" si="77">+(E157-E158-E159+E160)/12</f>
        <v>1137.0461190800904</v>
      </c>
      <c r="F163" s="6">
        <f t="shared" si="77"/>
        <v>1238.8679362051598</v>
      </c>
      <c r="G163" s="6">
        <f t="shared" si="77"/>
        <v>1327.9311533832843</v>
      </c>
    </row>
    <row r="166" spans="1:7" s="1" customFormat="1" x14ac:dyDescent="0.35">
      <c r="A166" s="1" t="s">
        <v>79</v>
      </c>
    </row>
    <row r="167" spans="1:7" s="1" customFormat="1" x14ac:dyDescent="0.35">
      <c r="A167" s="1" t="s">
        <v>1</v>
      </c>
    </row>
    <row r="168" spans="1:7" s="1" customFormat="1" x14ac:dyDescent="0.35">
      <c r="A168" s="1" t="s">
        <v>80</v>
      </c>
      <c r="C168" s="2" t="s">
        <v>4</v>
      </c>
      <c r="D168" s="2" t="s">
        <v>5</v>
      </c>
      <c r="E168" s="2" t="s">
        <v>178</v>
      </c>
      <c r="F168" s="2" t="s">
        <v>177</v>
      </c>
      <c r="G168" s="2" t="s">
        <v>176</v>
      </c>
    </row>
    <row r="169" spans="1:7" x14ac:dyDescent="0.35">
      <c r="A169" t="s">
        <v>37</v>
      </c>
      <c r="C169" s="6"/>
      <c r="D169" s="6">
        <f>+C173</f>
        <v>0</v>
      </c>
      <c r="E169" s="6">
        <f t="shared" ref="E169:G169" si="78">+D173</f>
        <v>1067.0399999999997</v>
      </c>
      <c r="F169" s="6">
        <f t="shared" si="78"/>
        <v>1085.7131999999999</v>
      </c>
      <c r="G169" s="6">
        <f t="shared" si="78"/>
        <v>1102.5417546000001</v>
      </c>
    </row>
    <row r="170" spans="1:7" x14ac:dyDescent="0.35">
      <c r="A170" t="s">
        <v>69</v>
      </c>
      <c r="C170" s="6"/>
      <c r="D170" s="6">
        <f>(D21+D44)*(12.15%+9.45%)</f>
        <v>12804.479999999998</v>
      </c>
      <c r="E170" s="6">
        <f>(E21+E44)*(12.15%+9.45%)</f>
        <v>13028.558399999998</v>
      </c>
      <c r="F170" s="6">
        <f>(F21+F44)*(12.15%+9.45%)</f>
        <v>13230.5010552</v>
      </c>
      <c r="G170" s="6">
        <f>(G21+G44)*(12.15%+9.45%)</f>
        <v>13435.573821555599</v>
      </c>
    </row>
    <row r="171" spans="1:7" x14ac:dyDescent="0.35">
      <c r="A171" t="s">
        <v>12</v>
      </c>
      <c r="C171" s="6"/>
      <c r="D171" s="6">
        <f t="shared" ref="D171:G171" si="79">+D169+D170</f>
        <v>12804.479999999998</v>
      </c>
      <c r="E171" s="6">
        <f t="shared" si="79"/>
        <v>14095.598399999997</v>
      </c>
      <c r="F171" s="6">
        <f t="shared" si="79"/>
        <v>14316.2142552</v>
      </c>
      <c r="G171" s="6">
        <f t="shared" si="79"/>
        <v>14538.1155761556</v>
      </c>
    </row>
    <row r="172" spans="1:7" x14ac:dyDescent="0.35">
      <c r="A172" t="s">
        <v>62</v>
      </c>
      <c r="C172" s="6"/>
      <c r="D172" s="6">
        <f>+D171-D173</f>
        <v>11737.439999999999</v>
      </c>
      <c r="E172" s="6">
        <f t="shared" ref="E172:G172" si="80">+E171-E173</f>
        <v>13009.885199999997</v>
      </c>
      <c r="F172" s="6">
        <f t="shared" si="80"/>
        <v>13213.6725006</v>
      </c>
      <c r="G172" s="6">
        <f t="shared" si="80"/>
        <v>13418.4844243593</v>
      </c>
    </row>
    <row r="173" spans="1:7" x14ac:dyDescent="0.35">
      <c r="A173" t="s">
        <v>40</v>
      </c>
      <c r="C173" s="5">
        <v>0</v>
      </c>
      <c r="D173" s="6">
        <f>+D170/12</f>
        <v>1067.0399999999997</v>
      </c>
      <c r="E173" s="6">
        <f t="shared" ref="E173:G173" si="81">+E170/12</f>
        <v>1085.7131999999999</v>
      </c>
      <c r="F173" s="6">
        <f t="shared" si="81"/>
        <v>1102.5417546000001</v>
      </c>
      <c r="G173" s="6">
        <f t="shared" si="81"/>
        <v>1119.6311517962999</v>
      </c>
    </row>
    <row r="176" spans="1:7" s="1" customFormat="1" x14ac:dyDescent="0.35">
      <c r="A176" s="1" t="s">
        <v>81</v>
      </c>
    </row>
    <row r="177" spans="1:7" s="1" customFormat="1" x14ac:dyDescent="0.35">
      <c r="A177" s="1" t="s">
        <v>1</v>
      </c>
    </row>
    <row r="178" spans="1:7" s="1" customFormat="1" x14ac:dyDescent="0.35">
      <c r="A178" s="1" t="s">
        <v>82</v>
      </c>
      <c r="C178" s="2" t="s">
        <v>4</v>
      </c>
      <c r="D178" s="2" t="s">
        <v>5</v>
      </c>
      <c r="E178" s="2" t="s">
        <v>178</v>
      </c>
      <c r="F178" s="2" t="s">
        <v>177</v>
      </c>
      <c r="G178" s="2" t="s">
        <v>176</v>
      </c>
    </row>
    <row r="179" spans="1:7" x14ac:dyDescent="0.35">
      <c r="A179" t="s">
        <v>37</v>
      </c>
      <c r="C179" s="6"/>
      <c r="D179" s="6">
        <f>+C183</f>
        <v>0</v>
      </c>
      <c r="E179" s="6">
        <f t="shared" ref="E179:G179" si="82">+D183</f>
        <v>62.75</v>
      </c>
      <c r="F179" s="6">
        <f t="shared" si="82"/>
        <v>63.84812500000001</v>
      </c>
      <c r="G179" s="6">
        <f t="shared" si="82"/>
        <v>64.837770937500011</v>
      </c>
    </row>
    <row r="180" spans="1:7" x14ac:dyDescent="0.35">
      <c r="A180" t="s">
        <v>69</v>
      </c>
      <c r="C180" s="6"/>
      <c r="D180" s="6">
        <f>+(D29*1.75%+D53*2.75%)</f>
        <v>753</v>
      </c>
      <c r="E180" s="6">
        <f t="shared" ref="E180:G180" si="83">+(E29*1.75%+E53*2.75%)</f>
        <v>766.17750000000012</v>
      </c>
      <c r="F180" s="6">
        <f t="shared" si="83"/>
        <v>778.05325125000013</v>
      </c>
      <c r="G180" s="6">
        <f t="shared" si="83"/>
        <v>790.11307664437527</v>
      </c>
    </row>
    <row r="181" spans="1:7" x14ac:dyDescent="0.35">
      <c r="A181" t="s">
        <v>12</v>
      </c>
      <c r="C181" s="6"/>
      <c r="D181" s="6">
        <f t="shared" ref="D181:G181" si="84">+D179+D180</f>
        <v>753</v>
      </c>
      <c r="E181" s="6">
        <f t="shared" si="84"/>
        <v>828.92750000000012</v>
      </c>
      <c r="F181" s="6">
        <f t="shared" si="84"/>
        <v>841.90137625000011</v>
      </c>
      <c r="G181" s="6">
        <f t="shared" si="84"/>
        <v>854.95084758187522</v>
      </c>
    </row>
    <row r="182" spans="1:7" x14ac:dyDescent="0.35">
      <c r="A182" t="s">
        <v>62</v>
      </c>
      <c r="C182" s="6"/>
      <c r="D182" s="6">
        <f>+D181-D183</f>
        <v>690.25</v>
      </c>
      <c r="E182" s="6">
        <f t="shared" ref="E182:G182" si="85">+E181-E183</f>
        <v>765.07937500000014</v>
      </c>
      <c r="F182" s="6">
        <f t="shared" si="85"/>
        <v>777.06360531250016</v>
      </c>
      <c r="G182" s="6">
        <f t="shared" si="85"/>
        <v>789.10809119484395</v>
      </c>
    </row>
    <row r="183" spans="1:7" x14ac:dyDescent="0.35">
      <c r="A183" t="s">
        <v>40</v>
      </c>
      <c r="C183" s="5">
        <v>0</v>
      </c>
      <c r="D183" s="6">
        <f>+D180/12</f>
        <v>62.75</v>
      </c>
      <c r="E183" s="6">
        <f t="shared" ref="E183:G183" si="86">+E180/12</f>
        <v>63.84812500000001</v>
      </c>
      <c r="F183" s="6">
        <f t="shared" si="86"/>
        <v>64.837770937500011</v>
      </c>
      <c r="G183" s="6">
        <f t="shared" si="86"/>
        <v>65.842756387031272</v>
      </c>
    </row>
    <row r="186" spans="1:7" s="1" customFormat="1" x14ac:dyDescent="0.35">
      <c r="A186" s="1" t="s">
        <v>83</v>
      </c>
    </row>
    <row r="187" spans="1:7" s="1" customFormat="1" x14ac:dyDescent="0.35">
      <c r="A187" s="1" t="s">
        <v>1</v>
      </c>
    </row>
    <row r="188" spans="1:7" s="1" customFormat="1" x14ac:dyDescent="0.35">
      <c r="A188" s="1" t="s">
        <v>84</v>
      </c>
      <c r="C188" s="2" t="s">
        <v>4</v>
      </c>
      <c r="D188" s="2" t="s">
        <v>5</v>
      </c>
      <c r="E188" s="2" t="s">
        <v>178</v>
      </c>
      <c r="F188" s="2" t="s">
        <v>177</v>
      </c>
      <c r="G188" s="2" t="s">
        <v>176</v>
      </c>
    </row>
    <row r="189" spans="1:7" x14ac:dyDescent="0.35">
      <c r="A189" s="1" t="s">
        <v>85</v>
      </c>
      <c r="B189" s="1"/>
    </row>
    <row r="190" spans="1:7" x14ac:dyDescent="0.35">
      <c r="A190" s="1" t="s">
        <v>86</v>
      </c>
      <c r="B190" s="1"/>
      <c r="C190" s="7">
        <f>+C82</f>
        <v>0</v>
      </c>
      <c r="D190" s="7">
        <f>+D82</f>
        <v>0</v>
      </c>
      <c r="E190" s="7">
        <f>+E82</f>
        <v>0</v>
      </c>
      <c r="F190" s="7">
        <f>+F82</f>
        <v>59000</v>
      </c>
      <c r="G190" s="7">
        <f>+G82</f>
        <v>59000</v>
      </c>
    </row>
    <row r="191" spans="1:7" x14ac:dyDescent="0.35">
      <c r="A191" s="1" t="s">
        <v>87</v>
      </c>
      <c r="B191" s="1"/>
      <c r="C191" s="7">
        <f>+C71</f>
        <v>120000</v>
      </c>
      <c r="D191" s="7">
        <f>+D71</f>
        <v>120000</v>
      </c>
      <c r="E191" s="7">
        <f>+E71</f>
        <v>120000</v>
      </c>
      <c r="F191" s="7">
        <f>+F71</f>
        <v>120000</v>
      </c>
      <c r="G191" s="7">
        <f>+G71</f>
        <v>120000</v>
      </c>
    </row>
    <row r="192" spans="1:7" x14ac:dyDescent="0.35">
      <c r="A192" s="1" t="s">
        <v>88</v>
      </c>
      <c r="B192" s="1"/>
      <c r="C192" s="5">
        <v>-20000</v>
      </c>
      <c r="D192" s="7">
        <f>+C192-D31</f>
        <v>-35000</v>
      </c>
      <c r="E192" s="7">
        <f>+D192-E31</f>
        <v>-50000</v>
      </c>
      <c r="F192" s="7">
        <f>+E192-F31</f>
        <v>-65000</v>
      </c>
      <c r="G192" s="7">
        <f>+F192-G31</f>
        <v>-80000</v>
      </c>
    </row>
    <row r="194" spans="1:7" x14ac:dyDescent="0.35">
      <c r="A194" s="1" t="s">
        <v>89</v>
      </c>
      <c r="B194" s="1"/>
      <c r="C194" s="7">
        <f t="shared" ref="C194:G194" si="87">SUM(C190:C193)</f>
        <v>100000</v>
      </c>
      <c r="D194" s="7">
        <f t="shared" si="87"/>
        <v>85000</v>
      </c>
      <c r="E194" s="7">
        <f t="shared" si="87"/>
        <v>70000</v>
      </c>
      <c r="F194" s="7">
        <f t="shared" si="87"/>
        <v>114000</v>
      </c>
      <c r="G194" s="7">
        <f t="shared" si="87"/>
        <v>99000</v>
      </c>
    </row>
    <row r="196" spans="1:7" x14ac:dyDescent="0.35">
      <c r="A196" s="1" t="s">
        <v>90</v>
      </c>
      <c r="B196" s="1"/>
    </row>
    <row r="197" spans="1:7" x14ac:dyDescent="0.35">
      <c r="A197" t="s">
        <v>91</v>
      </c>
      <c r="C197" s="7">
        <f>+C150</f>
        <v>0</v>
      </c>
      <c r="D197" s="7">
        <f t="shared" ref="D197:G197" si="88">+D150</f>
        <v>9129.5287784387656</v>
      </c>
      <c r="E197" s="7">
        <f t="shared" si="88"/>
        <v>10073.175706587328</v>
      </c>
      <c r="F197" s="7">
        <f t="shared" si="88"/>
        <v>10846.759013421168</v>
      </c>
      <c r="G197" s="7">
        <f t="shared" si="88"/>
        <v>11527.196048686794</v>
      </c>
    </row>
    <row r="198" spans="1:7" x14ac:dyDescent="0.35">
      <c r="A198" s="1" t="s">
        <v>92</v>
      </c>
      <c r="B198" s="1"/>
      <c r="C198" s="7">
        <f>+C123</f>
        <v>1000</v>
      </c>
      <c r="D198" s="7">
        <f>+D123</f>
        <v>211461.01763457613</v>
      </c>
      <c r="E198" s="7">
        <f>+E123</f>
        <v>387032.63606629416</v>
      </c>
      <c r="F198" s="7">
        <f>+F123</f>
        <v>518361.1218538633</v>
      </c>
      <c r="G198" s="7">
        <f>+G123</f>
        <v>722136.65345336846</v>
      </c>
    </row>
    <row r="200" spans="1:7" x14ac:dyDescent="0.35">
      <c r="A200" s="1" t="s">
        <v>93</v>
      </c>
      <c r="B200" s="1"/>
      <c r="C200" s="7">
        <f t="shared" ref="C200:G200" si="89">SUM(C197:C199)</f>
        <v>1000</v>
      </c>
      <c r="D200" s="7">
        <f t="shared" si="89"/>
        <v>220590.5464130149</v>
      </c>
      <c r="E200" s="7">
        <f t="shared" si="89"/>
        <v>397105.81177288148</v>
      </c>
      <c r="F200" s="7">
        <f t="shared" si="89"/>
        <v>529207.88086728449</v>
      </c>
      <c r="G200" s="7">
        <f t="shared" si="89"/>
        <v>733663.84950205521</v>
      </c>
    </row>
    <row r="202" spans="1:7" x14ac:dyDescent="0.35">
      <c r="A202" s="1" t="s">
        <v>94</v>
      </c>
      <c r="B202" s="1"/>
      <c r="C202" s="7">
        <f>+C200+C194</f>
        <v>101000</v>
      </c>
      <c r="D202" s="7">
        <f t="shared" ref="D202:G202" si="90">+D200+D194</f>
        <v>305590.54641301488</v>
      </c>
      <c r="E202" s="7">
        <f t="shared" si="90"/>
        <v>467105.81177288148</v>
      </c>
      <c r="F202" s="7">
        <f t="shared" si="90"/>
        <v>643207.88086728449</v>
      </c>
      <c r="G202" s="7">
        <f t="shared" si="90"/>
        <v>832663.84950205521</v>
      </c>
    </row>
    <row r="204" spans="1:7" x14ac:dyDescent="0.35">
      <c r="A204" t="s">
        <v>95</v>
      </c>
    </row>
    <row r="205" spans="1:7" x14ac:dyDescent="0.35">
      <c r="A205" t="s">
        <v>96</v>
      </c>
      <c r="C205" s="6">
        <v>101000</v>
      </c>
      <c r="D205" s="7">
        <f>+C205</f>
        <v>101000</v>
      </c>
      <c r="E205" s="7">
        <f t="shared" ref="E205:G205" si="91">+D205</f>
        <v>101000</v>
      </c>
      <c r="F205" s="7">
        <f t="shared" si="91"/>
        <v>101000</v>
      </c>
      <c r="G205" s="7">
        <f t="shared" si="91"/>
        <v>101000</v>
      </c>
    </row>
    <row r="206" spans="1:7" x14ac:dyDescent="0.35">
      <c r="A206" t="s">
        <v>97</v>
      </c>
      <c r="C206" s="6">
        <v>0</v>
      </c>
      <c r="D206" s="7">
        <f>+C206+D98</f>
        <v>12906.080442744413</v>
      </c>
      <c r="E206" s="7">
        <f>+D206+E98</f>
        <v>27871.928436455946</v>
      </c>
      <c r="F206" s="7">
        <f>+E206+F98</f>
        <v>44515.928187818587</v>
      </c>
      <c r="G206" s="7">
        <f>+F206+G98</f>
        <v>62620.3648011654</v>
      </c>
    </row>
    <row r="207" spans="1:7" x14ac:dyDescent="0.35">
      <c r="A207" t="s">
        <v>98</v>
      </c>
      <c r="D207" s="7">
        <f>+C207+C208</f>
        <v>0</v>
      </c>
      <c r="E207" s="7">
        <f t="shared" ref="E207:G207" si="92">+D207+D208</f>
        <v>116154.72398469971</v>
      </c>
      <c r="F207" s="7">
        <f t="shared" si="92"/>
        <v>250847.3559281035</v>
      </c>
      <c r="G207" s="7">
        <f t="shared" si="92"/>
        <v>400643.35369036719</v>
      </c>
    </row>
    <row r="208" spans="1:7" x14ac:dyDescent="0.35">
      <c r="A208" t="s">
        <v>99</v>
      </c>
      <c r="D208" s="7">
        <f>+D99</f>
        <v>116154.72398469971</v>
      </c>
      <c r="E208" s="7">
        <f>+E99</f>
        <v>134692.6319434038</v>
      </c>
      <c r="F208" s="7">
        <f>+F99</f>
        <v>149795.99776226372</v>
      </c>
      <c r="G208" s="7">
        <f>+G99</f>
        <v>162939.92952012134</v>
      </c>
    </row>
    <row r="210" spans="1:7" x14ac:dyDescent="0.35">
      <c r="A210" t="s">
        <v>100</v>
      </c>
      <c r="C210" s="7">
        <f t="shared" ref="C210:G210" si="93">SUM(C205:C209)</f>
        <v>101000</v>
      </c>
      <c r="D210" s="7">
        <f t="shared" si="93"/>
        <v>230060.80442744412</v>
      </c>
      <c r="E210" s="7">
        <f t="shared" si="93"/>
        <v>379719.28436455945</v>
      </c>
      <c r="F210" s="7">
        <f t="shared" si="93"/>
        <v>546159.28187818581</v>
      </c>
      <c r="G210" s="7">
        <f t="shared" si="93"/>
        <v>727203.64801165392</v>
      </c>
    </row>
    <row r="212" spans="1:7" x14ac:dyDescent="0.35">
      <c r="A212" t="s">
        <v>101</v>
      </c>
    </row>
    <row r="213" spans="1:7" x14ac:dyDescent="0.35">
      <c r="A213" t="s">
        <v>102</v>
      </c>
      <c r="C213" s="7">
        <f>+C173</f>
        <v>0</v>
      </c>
      <c r="D213" s="7">
        <f t="shared" ref="D213:G213" si="94">+D173</f>
        <v>1067.0399999999997</v>
      </c>
      <c r="E213" s="7">
        <f t="shared" si="94"/>
        <v>1085.7131999999999</v>
      </c>
      <c r="F213" s="7">
        <f t="shared" si="94"/>
        <v>1102.5417546000001</v>
      </c>
      <c r="G213" s="7">
        <f t="shared" si="94"/>
        <v>1119.6311517962999</v>
      </c>
    </row>
    <row r="214" spans="1:7" x14ac:dyDescent="0.35">
      <c r="A214" t="s">
        <v>103</v>
      </c>
      <c r="C214" s="7">
        <f>+C163</f>
        <v>0</v>
      </c>
      <c r="D214" s="7">
        <f t="shared" ref="D214:G214" si="95">+D163</f>
        <v>1012.4357425143771</v>
      </c>
      <c r="E214" s="7">
        <f t="shared" si="95"/>
        <v>1137.0461190800904</v>
      </c>
      <c r="F214" s="7">
        <f t="shared" si="95"/>
        <v>1238.8679362051598</v>
      </c>
      <c r="G214" s="7">
        <f t="shared" si="95"/>
        <v>1327.9311533832843</v>
      </c>
    </row>
    <row r="215" spans="1:7" x14ac:dyDescent="0.35">
      <c r="A215" t="s">
        <v>104</v>
      </c>
      <c r="C215" s="7">
        <f>+C183</f>
        <v>0</v>
      </c>
      <c r="D215" s="7">
        <f t="shared" ref="D215:G215" si="96">+D183</f>
        <v>62.75</v>
      </c>
      <c r="E215" s="7">
        <f t="shared" si="96"/>
        <v>63.84812500000001</v>
      </c>
      <c r="F215" s="7">
        <f t="shared" si="96"/>
        <v>64.837770937500011</v>
      </c>
      <c r="G215" s="7">
        <f t="shared" si="96"/>
        <v>65.842756387031272</v>
      </c>
    </row>
    <row r="216" spans="1:7" x14ac:dyDescent="0.35">
      <c r="A216" t="s">
        <v>105</v>
      </c>
      <c r="C216" s="7">
        <f>+C132</f>
        <v>0</v>
      </c>
      <c r="D216" s="7">
        <f>+D132</f>
        <v>30367.248100575085</v>
      </c>
      <c r="E216" s="7">
        <f>+E132</f>
        <v>35213.759985203607</v>
      </c>
      <c r="F216" s="7">
        <f>+F132</f>
        <v>39162.35235614737</v>
      </c>
      <c r="G216" s="7">
        <f>+G132</f>
        <v>42598.674384345446</v>
      </c>
    </row>
    <row r="217" spans="1:7" x14ac:dyDescent="0.35">
      <c r="A217" t="s">
        <v>106</v>
      </c>
      <c r="C217" s="7">
        <f>+C141</f>
        <v>0</v>
      </c>
      <c r="D217" s="7">
        <f>+D141</f>
        <v>43020.268142481371</v>
      </c>
      <c r="E217" s="7">
        <f>+E141</f>
        <v>49886.159979038457</v>
      </c>
      <c r="F217" s="7">
        <f>+F141</f>
        <v>55479.999171208772</v>
      </c>
      <c r="G217" s="7">
        <f>+G141</f>
        <v>60348.122044489392</v>
      </c>
    </row>
    <row r="219" spans="1:7" x14ac:dyDescent="0.35">
      <c r="A219" t="s">
        <v>107</v>
      </c>
      <c r="C219" s="7">
        <f t="shared" ref="C219:G219" si="97">SUM(C213:C218)</f>
        <v>0</v>
      </c>
      <c r="D219" s="7">
        <f t="shared" si="97"/>
        <v>75529.741985570829</v>
      </c>
      <c r="E219" s="7">
        <f t="shared" si="97"/>
        <v>87386.527408322145</v>
      </c>
      <c r="F219" s="7">
        <f t="shared" si="97"/>
        <v>97048.598989098798</v>
      </c>
      <c r="G219" s="7">
        <f t="shared" si="97"/>
        <v>105460.20149040145</v>
      </c>
    </row>
    <row r="221" spans="1:7" x14ac:dyDescent="0.35">
      <c r="A221" t="s">
        <v>108</v>
      </c>
      <c r="C221" s="7">
        <f>+C210+C219</f>
        <v>101000</v>
      </c>
      <c r="D221" s="7">
        <f t="shared" ref="D221:G221" si="98">+D210+D219</f>
        <v>305590.54641301493</v>
      </c>
      <c r="E221" s="7">
        <f t="shared" si="98"/>
        <v>467105.8117728816</v>
      </c>
      <c r="F221" s="7">
        <f t="shared" si="98"/>
        <v>643207.88086728461</v>
      </c>
      <c r="G221" s="7">
        <f t="shared" si="98"/>
        <v>832663.84950205532</v>
      </c>
    </row>
    <row r="222" spans="1:7" x14ac:dyDescent="0.35">
      <c r="A222" t="s">
        <v>109</v>
      </c>
      <c r="C222" s="7">
        <f>+C221-C202</f>
        <v>0</v>
      </c>
      <c r="D222" s="7">
        <f t="shared" ref="D222:G222" si="99">+D221-D202</f>
        <v>0</v>
      </c>
      <c r="E222" s="7">
        <f t="shared" si="99"/>
        <v>0</v>
      </c>
      <c r="F222" s="7">
        <f t="shared" si="99"/>
        <v>0</v>
      </c>
      <c r="G222" s="7">
        <f t="shared" si="99"/>
        <v>0</v>
      </c>
    </row>
    <row r="223" spans="1:7" x14ac:dyDescent="0.35">
      <c r="E223" s="7">
        <f>+E222-D222</f>
        <v>0</v>
      </c>
      <c r="F223" s="7">
        <f t="shared" ref="F223:G223" si="100">+F222-E222</f>
        <v>0</v>
      </c>
      <c r="G223" s="7">
        <f t="shared" si="100"/>
        <v>0</v>
      </c>
    </row>
  </sheetData>
  <pageMargins left="0" right="0" top="0.74803149606299213" bottom="0.74803149606299213" header="0.31496062992125984" footer="0.31496062992125984"/>
  <pageSetup paperSize="9" orientation="portrait" r:id="rId1"/>
  <headerFooter>
    <oddHeader>&amp;A</oddHeader>
    <oddFooter>&amp;CPágina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B489C-6C79-4C80-AFAC-9114FC4390D6}">
  <dimension ref="B1:C2"/>
  <sheetViews>
    <sheetView workbookViewId="0">
      <selection activeCell="B1" sqref="B1:C2"/>
    </sheetView>
  </sheetViews>
  <sheetFormatPr baseColWidth="10" defaultRowHeight="14.5" x14ac:dyDescent="0.35"/>
  <sheetData>
    <row r="1" spans="2:3" x14ac:dyDescent="0.35">
      <c r="B1" t="s">
        <v>3</v>
      </c>
      <c r="C1" t="s">
        <v>4</v>
      </c>
    </row>
    <row r="2" spans="2:3" x14ac:dyDescent="0.35">
      <c r="B2" s="5">
        <v>5000</v>
      </c>
      <c r="C2" s="5">
        <v>6500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4B1B-2DFA-40F4-AC6A-0ADA22C22507}">
  <dimension ref="B2:H17"/>
  <sheetViews>
    <sheetView workbookViewId="0">
      <selection activeCell="A16" sqref="A16"/>
    </sheetView>
  </sheetViews>
  <sheetFormatPr baseColWidth="10" defaultRowHeight="14.5" x14ac:dyDescent="0.35"/>
  <sheetData>
    <row r="2" spans="2:7" x14ac:dyDescent="0.35">
      <c r="D2" t="s">
        <v>112</v>
      </c>
    </row>
    <row r="4" spans="2:7" ht="15" thickBot="1" x14ac:dyDescent="0.4">
      <c r="B4">
        <v>1</v>
      </c>
      <c r="C4">
        <f>+B4+1</f>
        <v>2</v>
      </c>
      <c r="D4">
        <f t="shared" ref="D4:G4" si="0">+C4+1</f>
        <v>3</v>
      </c>
      <c r="E4">
        <f t="shared" si="0"/>
        <v>4</v>
      </c>
      <c r="F4">
        <f t="shared" si="0"/>
        <v>5</v>
      </c>
      <c r="G4">
        <f t="shared" si="0"/>
        <v>6</v>
      </c>
    </row>
    <row r="5" spans="2:7" ht="15" thickBot="1" x14ac:dyDescent="0.4">
      <c r="B5" s="10" t="s">
        <v>110</v>
      </c>
      <c r="C5" s="11" t="s">
        <v>111</v>
      </c>
      <c r="D5" s="10" t="s">
        <v>113</v>
      </c>
      <c r="E5" s="11" t="s">
        <v>114</v>
      </c>
      <c r="F5" s="10" t="s">
        <v>115</v>
      </c>
      <c r="G5" s="11" t="s">
        <v>116</v>
      </c>
    </row>
    <row r="6" spans="2:7" ht="15" thickBot="1" x14ac:dyDescent="0.4">
      <c r="B6" s="12">
        <v>5000</v>
      </c>
      <c r="C6" s="13">
        <v>6500</v>
      </c>
      <c r="D6" s="6">
        <f>2164*LN(D4)+5000</f>
        <v>7377.39699267779</v>
      </c>
      <c r="E6" s="6">
        <f t="shared" ref="E6:G6" si="1">2164*LN(E4)+5000</f>
        <v>7999.9409974634436</v>
      </c>
      <c r="F6" s="6">
        <f t="shared" si="1"/>
        <v>8482.8236425073919</v>
      </c>
      <c r="G6" s="6">
        <f t="shared" si="1"/>
        <v>8877.36749140951</v>
      </c>
    </row>
    <row r="8" spans="2:7" x14ac:dyDescent="0.35">
      <c r="G8" s="18" t="s">
        <v>126</v>
      </c>
    </row>
    <row r="10" spans="2:7" x14ac:dyDescent="0.35">
      <c r="E10" t="s">
        <v>121</v>
      </c>
      <c r="F10" s="5">
        <v>100</v>
      </c>
      <c r="G10" s="6">
        <v>133.33333333333334</v>
      </c>
    </row>
    <row r="11" spans="2:7" x14ac:dyDescent="0.35">
      <c r="E11" t="s">
        <v>122</v>
      </c>
      <c r="F11" s="5">
        <v>5</v>
      </c>
      <c r="G11" s="6">
        <v>5</v>
      </c>
    </row>
    <row r="12" spans="2:7" x14ac:dyDescent="0.35">
      <c r="E12" t="s">
        <v>123</v>
      </c>
      <c r="F12" s="6">
        <f>+F10*25%</f>
        <v>25</v>
      </c>
      <c r="G12" s="6">
        <f>+G10*25%</f>
        <v>33.333333333333336</v>
      </c>
    </row>
    <row r="13" spans="2:7" x14ac:dyDescent="0.35">
      <c r="E13" t="s">
        <v>124</v>
      </c>
      <c r="F13" s="5">
        <f>+F10*5%</f>
        <v>5</v>
      </c>
      <c r="G13" s="6">
        <f>+G10*5%</f>
        <v>6.6666666666666679</v>
      </c>
    </row>
    <row r="14" spans="2:7" x14ac:dyDescent="0.35">
      <c r="E14" t="s">
        <v>125</v>
      </c>
      <c r="F14" s="5">
        <f>+F10*12%</f>
        <v>12</v>
      </c>
      <c r="G14" s="6">
        <f>+G10*12%</f>
        <v>16</v>
      </c>
    </row>
    <row r="15" spans="2:7" x14ac:dyDescent="0.35">
      <c r="F15" s="6">
        <f>+F10-F12</f>
        <v>75</v>
      </c>
      <c r="G15" s="6">
        <f>+G10-G12</f>
        <v>100</v>
      </c>
    </row>
    <row r="16" spans="2:7" x14ac:dyDescent="0.35">
      <c r="F16" s="6"/>
      <c r="G16" s="6"/>
    </row>
    <row r="17" spans="6:8" x14ac:dyDescent="0.35">
      <c r="F17" s="6">
        <f>+F10+F11+F13+F14</f>
        <v>122</v>
      </c>
      <c r="G17" s="17">
        <f>+G10+G11+G13+G14</f>
        <v>161</v>
      </c>
      <c r="H17" s="7">
        <f>+G17-F17</f>
        <v>39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505A-B2E8-4C3A-99F2-ED26DA48E2B1}">
  <dimension ref="A1:M27"/>
  <sheetViews>
    <sheetView topLeftCell="A10" workbookViewId="0">
      <selection activeCell="B27" sqref="B27"/>
    </sheetView>
  </sheetViews>
  <sheetFormatPr baseColWidth="10" defaultRowHeight="14.5" x14ac:dyDescent="0.35"/>
  <cols>
    <col min="10" max="10" width="16" bestFit="1" customWidth="1"/>
  </cols>
  <sheetData>
    <row r="1" spans="2:13" ht="24" thickBot="1" x14ac:dyDescent="0.4">
      <c r="J1" s="19"/>
      <c r="K1" s="20" t="s">
        <v>127</v>
      </c>
      <c r="L1" s="20" t="s">
        <v>128</v>
      </c>
    </row>
    <row r="2" spans="2:13" ht="24.5" thickTop="1" thickBot="1" x14ac:dyDescent="0.4">
      <c r="J2" s="21" t="s">
        <v>129</v>
      </c>
      <c r="K2" s="22">
        <v>100</v>
      </c>
      <c r="L2" s="54">
        <v>145</v>
      </c>
      <c r="M2" s="57">
        <f>+L2/K2-1</f>
        <v>0.44999999999999996</v>
      </c>
    </row>
    <row r="3" spans="2:13" ht="24" thickBot="1" x14ac:dyDescent="0.4">
      <c r="J3" s="23" t="s">
        <v>130</v>
      </c>
      <c r="K3" s="24">
        <v>40</v>
      </c>
      <c r="L3" s="55">
        <v>50</v>
      </c>
      <c r="M3" s="57">
        <f t="shared" ref="M3:M7" si="0">+L3/K3-1</f>
        <v>0.25</v>
      </c>
    </row>
    <row r="4" spans="2:13" ht="24" thickBot="1" x14ac:dyDescent="0.4">
      <c r="J4" s="25" t="s">
        <v>131</v>
      </c>
      <c r="K4" s="26">
        <v>60</v>
      </c>
      <c r="L4" s="56">
        <v>95</v>
      </c>
      <c r="M4" s="57">
        <f t="shared" si="0"/>
        <v>0.58333333333333326</v>
      </c>
    </row>
    <row r="5" spans="2:13" ht="24" thickBot="1" x14ac:dyDescent="0.4">
      <c r="J5" s="23" t="s">
        <v>132</v>
      </c>
      <c r="K5" s="24">
        <v>400</v>
      </c>
      <c r="L5" s="55">
        <v>410</v>
      </c>
      <c r="M5" s="57">
        <f t="shared" si="0"/>
        <v>2.4999999999999911E-2</v>
      </c>
    </row>
    <row r="6" spans="2:13" ht="24" thickBot="1" x14ac:dyDescent="0.4">
      <c r="J6" s="25" t="s">
        <v>133</v>
      </c>
      <c r="K6" s="26">
        <v>375</v>
      </c>
      <c r="L6" s="56">
        <v>380</v>
      </c>
      <c r="M6" s="57">
        <f t="shared" si="0"/>
        <v>1.3333333333333419E-2</v>
      </c>
    </row>
    <row r="7" spans="2:13" ht="24" thickBot="1" x14ac:dyDescent="0.4">
      <c r="J7" s="23" t="s">
        <v>134</v>
      </c>
      <c r="K7" s="24">
        <v>25</v>
      </c>
      <c r="L7" s="55">
        <v>30</v>
      </c>
      <c r="M7" s="57">
        <f t="shared" si="0"/>
        <v>0.19999999999999996</v>
      </c>
    </row>
    <row r="13" spans="2:13" ht="15" thickBot="1" x14ac:dyDescent="0.4"/>
    <row r="14" spans="2:13" x14ac:dyDescent="0.35">
      <c r="B14" s="29"/>
      <c r="C14" s="30"/>
      <c r="D14" s="31" t="s">
        <v>135</v>
      </c>
      <c r="E14" s="43"/>
      <c r="F14" s="39"/>
      <c r="G14" s="2"/>
      <c r="I14" s="46"/>
      <c r="J14" s="31"/>
      <c r="K14" s="31" t="s">
        <v>136</v>
      </c>
      <c r="L14" s="43"/>
    </row>
    <row r="15" spans="2:13" x14ac:dyDescent="0.35">
      <c r="B15" s="32"/>
      <c r="C15" s="33"/>
      <c r="D15" s="34">
        <f>+K7/K4</f>
        <v>0.41666666666666669</v>
      </c>
      <c r="E15" s="44"/>
      <c r="F15" s="32"/>
      <c r="G15" s="1"/>
      <c r="I15" s="32"/>
      <c r="J15" s="33"/>
      <c r="K15" s="34">
        <f>+L7/L4</f>
        <v>0.31578947368421051</v>
      </c>
      <c r="L15" s="44"/>
    </row>
    <row r="16" spans="2:13" x14ac:dyDescent="0.35">
      <c r="B16" s="32"/>
      <c r="C16" s="36" t="s">
        <v>137</v>
      </c>
      <c r="D16" s="33"/>
      <c r="E16" s="37" t="s">
        <v>139</v>
      </c>
      <c r="F16" s="45"/>
      <c r="I16" s="45"/>
      <c r="J16" s="36" t="s">
        <v>138</v>
      </c>
      <c r="K16" s="47"/>
      <c r="L16" s="37" t="s">
        <v>140</v>
      </c>
    </row>
    <row r="17" spans="1:13" x14ac:dyDescent="0.35">
      <c r="B17" s="32"/>
      <c r="C17" s="34">
        <f>+K7/K2</f>
        <v>0.25</v>
      </c>
      <c r="D17" s="33"/>
      <c r="E17" s="38">
        <f>+K2/K4</f>
        <v>1.6666666666666667</v>
      </c>
      <c r="F17" s="45"/>
      <c r="I17" s="45"/>
      <c r="J17" s="48">
        <f>+L7/L2</f>
        <v>0.20689655172413793</v>
      </c>
      <c r="K17" s="47"/>
      <c r="L17" s="49">
        <f>+L2/L4</f>
        <v>1.5263157894736843</v>
      </c>
    </row>
    <row r="18" spans="1:13" x14ac:dyDescent="0.35">
      <c r="B18" s="32"/>
      <c r="C18" s="33"/>
      <c r="D18" s="33"/>
      <c r="E18" s="35"/>
      <c r="F18" s="32"/>
      <c r="I18" s="45"/>
      <c r="J18" s="50"/>
      <c r="K18" s="47"/>
      <c r="L18" s="44"/>
      <c r="M18" s="7"/>
    </row>
    <row r="19" spans="1:13" ht="15" thickBot="1" x14ac:dyDescent="0.4">
      <c r="B19" s="32"/>
      <c r="C19" s="33"/>
      <c r="D19" s="33"/>
      <c r="E19" s="35"/>
      <c r="F19" s="32"/>
      <c r="I19" s="45"/>
      <c r="J19" s="47"/>
      <c r="K19" s="47"/>
      <c r="L19" s="44"/>
    </row>
    <row r="20" spans="1:13" x14ac:dyDescent="0.35">
      <c r="B20" s="39" t="s">
        <v>141</v>
      </c>
      <c r="C20" s="33"/>
      <c r="D20" s="58" t="s">
        <v>143</v>
      </c>
      <c r="E20" s="35"/>
      <c r="F20" s="32"/>
      <c r="I20" s="39" t="s">
        <v>142</v>
      </c>
      <c r="J20" s="47"/>
      <c r="K20" s="58" t="s">
        <v>144</v>
      </c>
      <c r="L20" s="44"/>
    </row>
    <row r="21" spans="1:13" ht="15" thickBot="1" x14ac:dyDescent="0.4">
      <c r="B21" s="40">
        <f>+K7/K5</f>
        <v>6.25E-2</v>
      </c>
      <c r="C21" s="41"/>
      <c r="D21" s="60">
        <f>+K5/K2</f>
        <v>4</v>
      </c>
      <c r="E21" s="42"/>
      <c r="F21" s="32"/>
      <c r="I21" s="51">
        <f>+L7/L5</f>
        <v>7.3170731707317069E-2</v>
      </c>
      <c r="J21" s="52"/>
      <c r="K21" s="59">
        <f>+L5/L2</f>
        <v>2.8275862068965516</v>
      </c>
      <c r="L21" s="53"/>
    </row>
    <row r="22" spans="1:13" x14ac:dyDescent="0.35">
      <c r="C22" s="27">
        <f>+B21*D21</f>
        <v>0.25</v>
      </c>
      <c r="J22" s="27">
        <f>+I21*K21</f>
        <v>0.2068965517241379</v>
      </c>
      <c r="K22" s="27">
        <f>+J22*L17</f>
        <v>0.31578947368421051</v>
      </c>
    </row>
    <row r="24" spans="1:13" x14ac:dyDescent="0.35">
      <c r="A24" s="28">
        <f>+B21*D21*E17</f>
        <v>0.41666666666666669</v>
      </c>
      <c r="B24" s="3">
        <f>+B21</f>
        <v>6.25E-2</v>
      </c>
      <c r="D24" s="7">
        <f>+D21</f>
        <v>4</v>
      </c>
      <c r="E24" s="7">
        <f>+E17</f>
        <v>1.6666666666666667</v>
      </c>
      <c r="H24" s="28">
        <f>+I21*K21*L17</f>
        <v>0.31578947368421051</v>
      </c>
      <c r="I24" s="3">
        <f>+I21</f>
        <v>7.3170731707317069E-2</v>
      </c>
      <c r="K24" s="7">
        <f>+K21</f>
        <v>2.8275862068965516</v>
      </c>
      <c r="L24" s="7">
        <f>+L17</f>
        <v>1.5263157894736843</v>
      </c>
    </row>
    <row r="27" spans="1:13" x14ac:dyDescent="0.35">
      <c r="B27" t="s">
        <v>145</v>
      </c>
    </row>
  </sheetData>
  <phoneticPr fontId="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F842-E86C-4F11-A0FC-0950B8F05160}">
  <dimension ref="A1:J47"/>
  <sheetViews>
    <sheetView topLeftCell="B32" workbookViewId="0">
      <selection activeCell="G47" sqref="G47"/>
    </sheetView>
  </sheetViews>
  <sheetFormatPr baseColWidth="10" defaultRowHeight="14.5" x14ac:dyDescent="0.35"/>
  <cols>
    <col min="1" max="1" width="46.81640625" bestFit="1" customWidth="1"/>
    <col min="2" max="2" width="6.08984375" bestFit="1" customWidth="1"/>
    <col min="6" max="6" width="27.54296875" bestFit="1" customWidth="1"/>
    <col min="7" max="7" width="9.7265625" bestFit="1" customWidth="1"/>
    <col min="8" max="8" width="11.08984375" bestFit="1" customWidth="1"/>
    <col min="9" max="9" width="9.6328125" bestFit="1" customWidth="1"/>
    <col min="10" max="10" width="14.08984375" bestFit="1" customWidth="1"/>
  </cols>
  <sheetData>
    <row r="1" spans="1:10" ht="47" customHeight="1" thickBot="1" x14ac:dyDescent="0.6">
      <c r="A1" s="61" t="s">
        <v>146</v>
      </c>
      <c r="B1" s="62"/>
      <c r="F1" s="66" t="s">
        <v>84</v>
      </c>
      <c r="G1" s="67"/>
      <c r="H1" s="68" t="s">
        <v>152</v>
      </c>
    </row>
    <row r="2" spans="1:10" ht="24" thickBot="1" x14ac:dyDescent="0.6">
      <c r="A2" s="63" t="s">
        <v>47</v>
      </c>
      <c r="B2" s="64">
        <v>584</v>
      </c>
      <c r="F2" s="69" t="s">
        <v>153</v>
      </c>
      <c r="G2" s="70">
        <v>160</v>
      </c>
      <c r="H2" s="71"/>
    </row>
    <row r="3" spans="1:10" ht="24" thickBot="1" x14ac:dyDescent="0.6">
      <c r="A3" s="63" t="s">
        <v>147</v>
      </c>
      <c r="B3" s="64">
        <v>486</v>
      </c>
      <c r="F3" s="69" t="s">
        <v>154</v>
      </c>
      <c r="G3" s="70">
        <v>39</v>
      </c>
      <c r="H3" s="71"/>
    </row>
    <row r="4" spans="1:10" ht="24" thickBot="1" x14ac:dyDescent="0.6">
      <c r="A4" s="63" t="s">
        <v>48</v>
      </c>
      <c r="B4" s="64">
        <v>98</v>
      </c>
      <c r="F4" s="69" t="s">
        <v>155</v>
      </c>
      <c r="G4" s="70">
        <v>30</v>
      </c>
      <c r="H4" s="71"/>
    </row>
    <row r="5" spans="1:10" ht="24" thickBot="1" x14ac:dyDescent="0.6">
      <c r="A5" s="63" t="s">
        <v>148</v>
      </c>
      <c r="B5" s="64">
        <v>17</v>
      </c>
      <c r="F5" s="69" t="s">
        <v>156</v>
      </c>
      <c r="G5" s="70">
        <v>10</v>
      </c>
      <c r="H5" s="71"/>
    </row>
    <row r="6" spans="1:10" ht="24" thickBot="1" x14ac:dyDescent="0.6">
      <c r="A6" s="63" t="s">
        <v>50</v>
      </c>
      <c r="B6" s="64">
        <v>81</v>
      </c>
      <c r="F6" s="69" t="s">
        <v>157</v>
      </c>
      <c r="G6" s="70">
        <v>239</v>
      </c>
      <c r="H6" s="71"/>
    </row>
    <row r="7" spans="1:10" ht="24" thickBot="1" x14ac:dyDescent="0.6">
      <c r="A7" s="63" t="s">
        <v>149</v>
      </c>
      <c r="B7" s="64">
        <v>5</v>
      </c>
      <c r="F7" s="69" t="s">
        <v>96</v>
      </c>
      <c r="G7" s="70">
        <v>32</v>
      </c>
      <c r="H7" s="69"/>
    </row>
    <row r="8" spans="1:10" ht="24" thickBot="1" x14ac:dyDescent="0.6">
      <c r="A8" s="63" t="s">
        <v>150</v>
      </c>
      <c r="B8" s="64">
        <v>76</v>
      </c>
      <c r="F8" s="69" t="s">
        <v>158</v>
      </c>
      <c r="G8" s="70">
        <v>27</v>
      </c>
      <c r="H8" s="69"/>
    </row>
    <row r="9" spans="1:10" ht="24" thickBot="1" x14ac:dyDescent="0.6">
      <c r="A9" s="63" t="s">
        <v>151</v>
      </c>
      <c r="B9" s="64">
        <v>19</v>
      </c>
      <c r="C9" s="28">
        <f>+B9/B8</f>
        <v>0.25</v>
      </c>
      <c r="F9" s="69" t="s">
        <v>159</v>
      </c>
      <c r="G9" s="70">
        <v>57</v>
      </c>
      <c r="H9" s="69"/>
    </row>
    <row r="10" spans="1:10" ht="24" thickBot="1" x14ac:dyDescent="0.6">
      <c r="A10" s="63" t="s">
        <v>56</v>
      </c>
      <c r="B10" s="64">
        <v>57</v>
      </c>
      <c r="F10" s="69" t="s">
        <v>160</v>
      </c>
      <c r="G10" s="70">
        <v>116</v>
      </c>
      <c r="H10" s="72">
        <v>0.15</v>
      </c>
    </row>
    <row r="11" spans="1:10" ht="17.5" thickBot="1" x14ac:dyDescent="0.45">
      <c r="F11" s="69" t="s">
        <v>161</v>
      </c>
      <c r="G11" s="70">
        <v>50</v>
      </c>
      <c r="H11" s="72">
        <v>0.1</v>
      </c>
    </row>
    <row r="12" spans="1:10" ht="17.5" thickBot="1" x14ac:dyDescent="0.45">
      <c r="F12" s="69" t="s">
        <v>162</v>
      </c>
      <c r="G12" s="70">
        <v>73</v>
      </c>
      <c r="H12" s="72">
        <v>0</v>
      </c>
    </row>
    <row r="13" spans="1:10" ht="23" thickBot="1" x14ac:dyDescent="0.5">
      <c r="F13" s="69" t="s">
        <v>163</v>
      </c>
      <c r="G13" s="70">
        <v>123</v>
      </c>
      <c r="H13" s="71"/>
    </row>
    <row r="14" spans="1:10" ht="23" thickBot="1" x14ac:dyDescent="0.5">
      <c r="F14" s="69" t="s">
        <v>164</v>
      </c>
      <c r="G14" s="70">
        <v>239</v>
      </c>
      <c r="H14" s="71"/>
    </row>
    <row r="15" spans="1:10" ht="15" thickBot="1" x14ac:dyDescent="0.4"/>
    <row r="16" spans="1:10" ht="21.5" thickBot="1" x14ac:dyDescent="0.55000000000000004">
      <c r="A16" s="75" t="s">
        <v>165</v>
      </c>
      <c r="B16" s="76"/>
      <c r="F16" s="77" t="s">
        <v>170</v>
      </c>
      <c r="G16" s="78"/>
      <c r="H16" s="79" t="s">
        <v>171</v>
      </c>
      <c r="I16" s="79" t="s">
        <v>152</v>
      </c>
      <c r="J16" s="79" t="s">
        <v>172</v>
      </c>
    </row>
    <row r="17" spans="1:10" ht="21.5" thickBot="1" x14ac:dyDescent="0.55000000000000004">
      <c r="A17" s="73" t="s">
        <v>56</v>
      </c>
      <c r="B17" s="74">
        <v>57</v>
      </c>
      <c r="C17">
        <f>+B10</f>
        <v>57</v>
      </c>
      <c r="F17" s="80" t="s">
        <v>131</v>
      </c>
      <c r="G17" s="81">
        <f>+G10</f>
        <v>116</v>
      </c>
      <c r="H17" s="83">
        <f>+G17/$G$19</f>
        <v>0.6987951807228916</v>
      </c>
      <c r="I17" s="82">
        <f>+H10</f>
        <v>0.15</v>
      </c>
      <c r="J17" s="82">
        <f>+I17*H17</f>
        <v>0.10481927710843374</v>
      </c>
    </row>
    <row r="18" spans="1:10" ht="21.5" thickBot="1" x14ac:dyDescent="0.55000000000000004">
      <c r="A18" s="73" t="s">
        <v>149</v>
      </c>
      <c r="B18" s="74">
        <v>5</v>
      </c>
      <c r="C18">
        <f>+B7</f>
        <v>5</v>
      </c>
      <c r="F18" s="80" t="s">
        <v>161</v>
      </c>
      <c r="G18" s="81">
        <f>+G11</f>
        <v>50</v>
      </c>
      <c r="H18" s="83">
        <f>+G18/$G$19</f>
        <v>0.30120481927710846</v>
      </c>
      <c r="I18" s="82">
        <f>+H11*(1-25%)</f>
        <v>7.5000000000000011E-2</v>
      </c>
      <c r="J18" s="82">
        <f>+I18*H18</f>
        <v>2.2590361445783139E-2</v>
      </c>
    </row>
    <row r="19" spans="1:10" ht="21.5" thickBot="1" x14ac:dyDescent="0.55000000000000004">
      <c r="A19" s="73" t="s">
        <v>165</v>
      </c>
      <c r="B19" s="74">
        <v>62</v>
      </c>
      <c r="C19">
        <f>+C17+C18</f>
        <v>62</v>
      </c>
      <c r="D19">
        <f>+B6-B9</f>
        <v>62</v>
      </c>
      <c r="F19" s="80" t="s">
        <v>173</v>
      </c>
      <c r="G19" s="81">
        <f>SUM(G17:G18)</f>
        <v>166</v>
      </c>
      <c r="H19" s="83">
        <f>+G19/$G$19</f>
        <v>1</v>
      </c>
      <c r="I19" s="80"/>
      <c r="J19" s="82">
        <f>SUM(J17:J18)</f>
        <v>0.12740963855421689</v>
      </c>
    </row>
    <row r="20" spans="1:10" ht="23" thickBot="1" x14ac:dyDescent="0.5">
      <c r="A20" s="65"/>
      <c r="B20" s="65"/>
      <c r="F20" s="71"/>
      <c r="G20" s="71"/>
      <c r="H20" s="71"/>
      <c r="I20" s="71"/>
      <c r="J20" s="71"/>
    </row>
    <row r="21" spans="1:10" ht="23" thickBot="1" x14ac:dyDescent="0.5">
      <c r="A21" s="65"/>
      <c r="B21" s="65"/>
      <c r="F21" s="71"/>
      <c r="G21" s="71"/>
      <c r="H21" s="71"/>
      <c r="I21" s="71"/>
      <c r="J21" s="71"/>
    </row>
    <row r="22" spans="1:10" ht="23.5" thickBot="1" x14ac:dyDescent="0.55000000000000004">
      <c r="A22" s="75" t="s">
        <v>166</v>
      </c>
      <c r="B22" s="76"/>
      <c r="F22" s="77" t="s">
        <v>174</v>
      </c>
      <c r="G22" s="78"/>
      <c r="H22" s="71"/>
      <c r="I22" s="71"/>
      <c r="J22" s="71"/>
    </row>
    <row r="23" spans="1:10" ht="23.5" thickBot="1" x14ac:dyDescent="0.55000000000000004">
      <c r="A23" s="73" t="s">
        <v>167</v>
      </c>
      <c r="B23" s="74">
        <v>239</v>
      </c>
      <c r="C23">
        <f>+G6</f>
        <v>239</v>
      </c>
      <c r="F23" s="80" t="s">
        <v>165</v>
      </c>
      <c r="G23" s="84">
        <f>+B19</f>
        <v>62</v>
      </c>
      <c r="H23" s="71"/>
      <c r="I23" s="71"/>
      <c r="J23" s="71"/>
    </row>
    <row r="24" spans="1:10" ht="23.5" thickBot="1" x14ac:dyDescent="0.55000000000000004">
      <c r="A24" s="73" t="s">
        <v>168</v>
      </c>
      <c r="B24" s="74">
        <v>73</v>
      </c>
      <c r="C24">
        <f>+G12</f>
        <v>73</v>
      </c>
      <c r="F24" s="80" t="s">
        <v>175</v>
      </c>
      <c r="G24" s="84">
        <f>+G19*J19</f>
        <v>21.150000000000002</v>
      </c>
      <c r="H24" s="71"/>
      <c r="I24" s="71"/>
      <c r="J24" s="71"/>
    </row>
    <row r="25" spans="1:10" ht="23.5" thickBot="1" x14ac:dyDescent="0.55000000000000004">
      <c r="A25" s="73" t="s">
        <v>169</v>
      </c>
      <c r="B25" s="74">
        <v>166</v>
      </c>
      <c r="C25">
        <f>+C23-C24</f>
        <v>166</v>
      </c>
      <c r="D25">
        <f>+G11+G10</f>
        <v>166</v>
      </c>
      <c r="F25" s="80" t="s">
        <v>174</v>
      </c>
      <c r="G25" s="85">
        <f>+G23-G24</f>
        <v>40.849999999999994</v>
      </c>
      <c r="H25" s="71"/>
      <c r="I25" s="71"/>
      <c r="J25" s="71"/>
    </row>
    <row r="32" spans="1:10" ht="15" thickBot="1" x14ac:dyDescent="0.4"/>
    <row r="33" spans="1:7" ht="24" thickBot="1" x14ac:dyDescent="0.6">
      <c r="A33" s="61" t="s">
        <v>146</v>
      </c>
      <c r="B33" s="62"/>
    </row>
    <row r="34" spans="1:7" ht="24" thickBot="1" x14ac:dyDescent="0.6">
      <c r="A34" s="63" t="s">
        <v>47</v>
      </c>
      <c r="B34" s="64">
        <v>584</v>
      </c>
      <c r="D34" s="64">
        <v>584</v>
      </c>
      <c r="E34" s="6">
        <f>+D34-B34</f>
        <v>0</v>
      </c>
    </row>
    <row r="35" spans="1:7" ht="24" thickBot="1" x14ac:dyDescent="0.6">
      <c r="A35" s="63" t="s">
        <v>147</v>
      </c>
      <c r="B35" s="64">
        <v>486</v>
      </c>
      <c r="D35" s="64">
        <v>486</v>
      </c>
      <c r="E35" s="6">
        <f t="shared" ref="E35:E42" si="0">+D35-B35</f>
        <v>0</v>
      </c>
    </row>
    <row r="36" spans="1:7" ht="24" thickBot="1" x14ac:dyDescent="0.6">
      <c r="A36" s="63" t="s">
        <v>48</v>
      </c>
      <c r="B36" s="64">
        <f>+B34-B35</f>
        <v>98</v>
      </c>
      <c r="D36" s="64">
        <f>+D34-D35</f>
        <v>98</v>
      </c>
      <c r="E36" s="6">
        <f t="shared" si="0"/>
        <v>0</v>
      </c>
    </row>
    <row r="37" spans="1:7" ht="24" thickBot="1" x14ac:dyDescent="0.6">
      <c r="A37" s="63" t="s">
        <v>148</v>
      </c>
      <c r="B37" s="64">
        <v>17</v>
      </c>
      <c r="D37" s="64">
        <v>17</v>
      </c>
      <c r="E37" s="6">
        <f t="shared" si="0"/>
        <v>0</v>
      </c>
    </row>
    <row r="38" spans="1:7" ht="24" thickBot="1" x14ac:dyDescent="0.6">
      <c r="A38" s="63" t="s">
        <v>50</v>
      </c>
      <c r="B38" s="64">
        <f>+B36-B37</f>
        <v>81</v>
      </c>
      <c r="D38" s="64">
        <f>+D36-D37</f>
        <v>81</v>
      </c>
      <c r="E38" s="6">
        <f t="shared" si="0"/>
        <v>0</v>
      </c>
    </row>
    <row r="39" spans="1:7" ht="24" thickBot="1" x14ac:dyDescent="0.6">
      <c r="A39" s="63" t="s">
        <v>149</v>
      </c>
      <c r="B39" s="64">
        <f>+H11*G11</f>
        <v>5</v>
      </c>
      <c r="D39" s="64"/>
      <c r="E39" s="6">
        <f t="shared" si="0"/>
        <v>-5</v>
      </c>
      <c r="F39">
        <f>+E39*25%</f>
        <v>-1.25</v>
      </c>
    </row>
    <row r="40" spans="1:7" ht="24" thickBot="1" x14ac:dyDescent="0.6">
      <c r="A40" s="63" t="s">
        <v>150</v>
      </c>
      <c r="B40" s="64">
        <f>+B38-B39</f>
        <v>76</v>
      </c>
      <c r="D40" s="64">
        <f>+D38-D39</f>
        <v>81</v>
      </c>
      <c r="E40" s="6">
        <f t="shared" si="0"/>
        <v>5</v>
      </c>
    </row>
    <row r="41" spans="1:7" ht="24" thickBot="1" x14ac:dyDescent="0.6">
      <c r="A41" s="63" t="s">
        <v>151</v>
      </c>
      <c r="B41" s="64">
        <f>+B40*25%</f>
        <v>19</v>
      </c>
      <c r="D41" s="64">
        <f>+D40*25%</f>
        <v>20.25</v>
      </c>
      <c r="E41" s="6">
        <f t="shared" si="0"/>
        <v>1.25</v>
      </c>
    </row>
    <row r="42" spans="1:7" ht="24" thickBot="1" x14ac:dyDescent="0.6">
      <c r="A42" s="63" t="s">
        <v>56</v>
      </c>
      <c r="B42" s="64">
        <f>+B40-B41</f>
        <v>57</v>
      </c>
      <c r="D42" s="64">
        <f>+D40-D41</f>
        <v>60.75</v>
      </c>
      <c r="E42" s="6">
        <f t="shared" si="0"/>
        <v>3.75</v>
      </c>
      <c r="F42" s="7">
        <f>+E42-F39</f>
        <v>5</v>
      </c>
    </row>
    <row r="45" spans="1:7" x14ac:dyDescent="0.35">
      <c r="F45">
        <v>1000</v>
      </c>
      <c r="G45" s="6">
        <v>1000</v>
      </c>
    </row>
    <row r="46" spans="1:7" x14ac:dyDescent="0.35">
      <c r="F46">
        <f>+F45*25%</f>
        <v>250</v>
      </c>
      <c r="G46" s="6">
        <f>+G45*35.25%</f>
        <v>352.5</v>
      </c>
    </row>
    <row r="47" spans="1:7" x14ac:dyDescent="0.35">
      <c r="F47">
        <f>+F45-F46</f>
        <v>750</v>
      </c>
      <c r="G47" s="17">
        <f>+G45-G46</f>
        <v>647.5</v>
      </c>
    </row>
  </sheetData>
  <mergeCells count="7">
    <mergeCell ref="A33:B33"/>
    <mergeCell ref="A1:B1"/>
    <mergeCell ref="F1:G1"/>
    <mergeCell ref="A16:B16"/>
    <mergeCell ref="A22:B22"/>
    <mergeCell ref="F16:G16"/>
    <mergeCell ref="F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5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(LOGARITMICA)</vt:lpstr>
      <vt:lpstr>Hoja4</vt:lpstr>
      <vt:lpstr>Hoja1</vt:lpstr>
      <vt:lpstr>DUPONT</vt:lpstr>
      <vt:lpstr>EVA</vt:lpstr>
      <vt:lpstr>Gráfico1</vt:lpstr>
      <vt:lpstr>Gráfico2</vt:lpstr>
      <vt:lpstr>'(LOGARITMICA)'!Área_de_impresión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Gamboa</dc:creator>
  <cp:lastModifiedBy>Fernando Gamboa</cp:lastModifiedBy>
  <dcterms:created xsi:type="dcterms:W3CDTF">2023-04-11T04:47:21Z</dcterms:created>
  <dcterms:modified xsi:type="dcterms:W3CDTF">2026-01-09T03:09:41Z</dcterms:modified>
</cp:coreProperties>
</file>