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metro-my.sharepoint.com/personal/fgamboa_hmetro_med_ec/Documents/Desktop/RESPALDO/Fernando/Personal/1PUCE/1 MAESTRIAS/"/>
    </mc:Choice>
  </mc:AlternateContent>
  <xr:revisionPtr revIDLastSave="0" documentId="8_{93BF7A97-97CF-4EAC-B87A-6F7C69E1C71A}" xr6:coauthVersionLast="47" xr6:coauthVersionMax="47" xr10:uidLastSave="{00000000-0000-0000-0000-000000000000}"/>
  <bookViews>
    <workbookView xWindow="-110" yWindow="-110" windowWidth="19420" windowHeight="11500" activeTab="2" xr2:uid="{1632F87B-2BAD-4595-9B25-63022DF944BA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3" l="1"/>
  <c r="B31" i="3"/>
  <c r="R23" i="3"/>
  <c r="R20" i="3"/>
  <c r="R21" i="3"/>
  <c r="R22" i="3"/>
  <c r="K8" i="3"/>
  <c r="H4" i="3"/>
  <c r="V4" i="3"/>
  <c r="R4" i="3"/>
  <c r="T5" i="3"/>
  <c r="T6" i="3" s="1"/>
  <c r="U5" i="3"/>
  <c r="S5" i="3"/>
  <c r="S6" i="3" s="1"/>
  <c r="U19" i="3"/>
  <c r="T19" i="3"/>
  <c r="S19" i="3"/>
  <c r="U6" i="3"/>
  <c r="P19" i="3"/>
  <c r="O19" i="3"/>
  <c r="N19" i="3"/>
  <c r="O4" i="3"/>
  <c r="J19" i="3"/>
  <c r="I19" i="3"/>
  <c r="H19" i="3"/>
  <c r="C32" i="3"/>
  <c r="D32" i="3"/>
  <c r="C31" i="3"/>
  <c r="D31" i="3"/>
  <c r="C27" i="3"/>
  <c r="C28" i="3"/>
  <c r="D28" i="3"/>
  <c r="B28" i="3"/>
  <c r="D27" i="3"/>
  <c r="B27" i="3"/>
  <c r="C26" i="3"/>
  <c r="D26" i="3"/>
  <c r="B26" i="3"/>
  <c r="C23" i="3"/>
  <c r="D23" i="3"/>
  <c r="B23" i="3"/>
  <c r="C22" i="3"/>
  <c r="D22" i="3"/>
  <c r="B22" i="3"/>
  <c r="C21" i="3"/>
  <c r="D21" i="3"/>
  <c r="B21" i="3"/>
  <c r="C20" i="3"/>
  <c r="D20" i="3"/>
  <c r="B20" i="3"/>
  <c r="C19" i="3"/>
  <c r="D19" i="3"/>
  <c r="B19" i="3"/>
  <c r="D18" i="3"/>
  <c r="C18" i="3"/>
  <c r="B18" i="3"/>
  <c r="D8" i="3"/>
  <c r="C8" i="3"/>
  <c r="B8" i="3"/>
  <c r="D6" i="3"/>
  <c r="C6" i="3"/>
  <c r="B6" i="3"/>
  <c r="Q15" i="2"/>
  <c r="O15" i="2"/>
  <c r="M15" i="2"/>
  <c r="Q9" i="2"/>
  <c r="Q7" i="2"/>
  <c r="N8" i="2"/>
  <c r="N5" i="2"/>
  <c r="O9" i="2"/>
  <c r="O4" i="2"/>
  <c r="Q4" i="2" s="1"/>
  <c r="O7" i="2"/>
  <c r="M9" i="2"/>
  <c r="M5" i="2"/>
  <c r="M6" i="2" s="1"/>
  <c r="M8" i="2" s="1"/>
  <c r="K17" i="2"/>
  <c r="G17" i="2"/>
  <c r="E17" i="2"/>
  <c r="H9" i="2"/>
  <c r="J17" i="2"/>
  <c r="J18" i="2" s="1"/>
  <c r="H7" i="2"/>
  <c r="H5" i="2"/>
  <c r="H6" i="2"/>
  <c r="H8" i="2" s="1"/>
  <c r="F12" i="2"/>
  <c r="G12" i="2" s="1"/>
  <c r="G8" i="2"/>
  <c r="F8" i="2"/>
  <c r="E7" i="2"/>
  <c r="E5" i="2"/>
  <c r="E9" i="2"/>
  <c r="E6" i="2"/>
  <c r="C9" i="2"/>
  <c r="D18" i="2"/>
  <c r="D17" i="2"/>
  <c r="C5" i="2"/>
  <c r="C6" i="2" s="1"/>
  <c r="C8" i="2" s="1"/>
  <c r="C10" i="2" s="1"/>
  <c r="C11" i="2" s="1"/>
  <c r="D4" i="1"/>
  <c r="D5" i="1" s="1"/>
  <c r="D7" i="1" s="1"/>
  <c r="D8" i="1" s="1"/>
  <c r="E8" i="1" s="1"/>
  <c r="H6" i="1"/>
  <c r="C5" i="1"/>
  <c r="G6" i="1"/>
  <c r="G3" i="1"/>
  <c r="G4" i="1" s="1"/>
  <c r="E6" i="1"/>
  <c r="E3" i="1"/>
  <c r="C4" i="1"/>
  <c r="H5" i="3" l="1"/>
  <c r="N5" i="3" s="1"/>
  <c r="N6" i="3" s="1"/>
  <c r="N32" i="3" s="1"/>
  <c r="I4" i="3"/>
  <c r="T32" i="3"/>
  <c r="T8" i="3"/>
  <c r="T26" i="3" s="1"/>
  <c r="U32" i="3"/>
  <c r="S32" i="3"/>
  <c r="S8" i="3"/>
  <c r="R8" i="3" s="1"/>
  <c r="R9" i="3" s="1"/>
  <c r="S31" i="3"/>
  <c r="U26" i="3"/>
  <c r="U8" i="3"/>
  <c r="U18" i="3" s="1"/>
  <c r="U31" i="3"/>
  <c r="T31" i="3"/>
  <c r="P4" i="3"/>
  <c r="O5" i="2"/>
  <c r="Q5" i="2"/>
  <c r="Q6" i="2" s="1"/>
  <c r="Q8" i="2"/>
  <c r="Q10" i="2" s="1"/>
  <c r="Q11" i="2" s="1"/>
  <c r="Q12" i="2" s="1"/>
  <c r="O6" i="2"/>
  <c r="O8" i="2" s="1"/>
  <c r="M10" i="2"/>
  <c r="M11" i="2" s="1"/>
  <c r="M12" i="2" s="1"/>
  <c r="H10" i="2"/>
  <c r="H11" i="2" s="1"/>
  <c r="H12" i="2" s="1"/>
  <c r="E8" i="2"/>
  <c r="E10" i="2" s="1"/>
  <c r="E11" i="2" s="1"/>
  <c r="E12" i="2" s="1"/>
  <c r="C12" i="2"/>
  <c r="E4" i="1"/>
  <c r="H4" i="1"/>
  <c r="G5" i="1"/>
  <c r="G7" i="1" s="1"/>
  <c r="H7" i="1" s="1"/>
  <c r="H3" i="1"/>
  <c r="E7" i="1"/>
  <c r="E5" i="1"/>
  <c r="C7" i="1"/>
  <c r="D9" i="1"/>
  <c r="S18" i="3" l="1"/>
  <c r="N26" i="3"/>
  <c r="I5" i="3"/>
  <c r="O5" i="3" s="1"/>
  <c r="O6" i="3" s="1"/>
  <c r="I6" i="3"/>
  <c r="J4" i="3"/>
  <c r="H6" i="3"/>
  <c r="N31" i="3"/>
  <c r="N8" i="3"/>
  <c r="N18" i="3" s="1"/>
  <c r="N20" i="3" s="1"/>
  <c r="T18" i="3"/>
  <c r="T20" i="3" s="1"/>
  <c r="T27" i="3" s="1"/>
  <c r="T28" i="3" s="1"/>
  <c r="V8" i="3"/>
  <c r="S26" i="3"/>
  <c r="S20" i="3"/>
  <c r="S27" i="3" s="1"/>
  <c r="U20" i="3"/>
  <c r="U27" i="3"/>
  <c r="U28" i="3" s="1"/>
  <c r="O31" i="3"/>
  <c r="O8" i="3"/>
  <c r="O18" i="3" s="1"/>
  <c r="O32" i="3"/>
  <c r="M13" i="2"/>
  <c r="M14" i="2" s="1"/>
  <c r="M16" i="2"/>
  <c r="Q13" i="2"/>
  <c r="Q14" i="2" s="1"/>
  <c r="Q16" i="2"/>
  <c r="O10" i="2"/>
  <c r="O11" i="2" s="1"/>
  <c r="O12" i="2" s="1"/>
  <c r="P8" i="2"/>
  <c r="H5" i="1"/>
  <c r="E9" i="1"/>
  <c r="G8" i="1"/>
  <c r="H8" i="1" s="1"/>
  <c r="C8" i="1"/>
  <c r="C9" i="1"/>
  <c r="N27" i="3" l="1"/>
  <c r="N28" i="3" s="1"/>
  <c r="N21" i="3"/>
  <c r="N22" i="3" s="1"/>
  <c r="N23" i="3" s="1"/>
  <c r="H8" i="3"/>
  <c r="H18" i="3" s="1"/>
  <c r="H31" i="3"/>
  <c r="H26" i="3"/>
  <c r="H32" i="3"/>
  <c r="J5" i="3"/>
  <c r="P5" i="3" s="1"/>
  <c r="P6" i="3" s="1"/>
  <c r="P31" i="3" s="1"/>
  <c r="I32" i="3"/>
  <c r="I31" i="3"/>
  <c r="I8" i="3"/>
  <c r="T21" i="3"/>
  <c r="T22" i="3" s="1"/>
  <c r="T23" i="3" s="1"/>
  <c r="U21" i="3"/>
  <c r="U22" i="3" s="1"/>
  <c r="U23" i="3" s="1"/>
  <c r="S21" i="3"/>
  <c r="S22" i="3" s="1"/>
  <c r="S23" i="3" s="1"/>
  <c r="S28" i="3"/>
  <c r="O20" i="3"/>
  <c r="O27" i="3" s="1"/>
  <c r="O26" i="3"/>
  <c r="O13" i="2"/>
  <c r="O14" i="2" s="1"/>
  <c r="O16" i="2"/>
  <c r="G9" i="1"/>
  <c r="H9" i="1" s="1"/>
  <c r="P8" i="3" l="1"/>
  <c r="P18" i="3" s="1"/>
  <c r="I18" i="3"/>
  <c r="I20" i="3" s="1"/>
  <c r="I26" i="3"/>
  <c r="P32" i="3"/>
  <c r="J6" i="3"/>
  <c r="H20" i="3"/>
  <c r="H21" i="3" s="1"/>
  <c r="H22" i="3" s="1"/>
  <c r="H23" i="3" s="1"/>
  <c r="H27" i="3"/>
  <c r="H28" i="3" s="1"/>
  <c r="O28" i="3"/>
  <c r="P20" i="3"/>
  <c r="P27" i="3"/>
  <c r="O21" i="3"/>
  <c r="O22" i="3" s="1"/>
  <c r="O23" i="3" s="1"/>
  <c r="P26" i="3"/>
  <c r="J32" i="3" l="1"/>
  <c r="J31" i="3"/>
  <c r="J8" i="3"/>
  <c r="J18" i="3" s="1"/>
  <c r="J20" i="3" s="1"/>
  <c r="J26" i="3"/>
  <c r="P28" i="3"/>
  <c r="I27" i="3"/>
  <c r="I28" i="3" s="1"/>
  <c r="I21" i="3"/>
  <c r="I22" i="3" s="1"/>
  <c r="I23" i="3" s="1"/>
  <c r="P21" i="3"/>
  <c r="P22" i="3" s="1"/>
  <c r="P23" i="3" s="1"/>
  <c r="J27" i="3" l="1"/>
  <c r="J28" i="3" s="1"/>
  <c r="J21" i="3"/>
  <c r="J22" i="3" s="1"/>
  <c r="J23" i="3" s="1"/>
</calcChain>
</file>

<file path=xl/sharedStrings.xml><?xml version="1.0" encoding="utf-8"?>
<sst xmlns="http://schemas.openxmlformats.org/spreadsheetml/2006/main" count="133" uniqueCount="50">
  <si>
    <t>Ventas</t>
  </si>
  <si>
    <t>Costos Variables</t>
  </si>
  <si>
    <t>Margen de Contribución</t>
  </si>
  <si>
    <t>Costos Fijos</t>
  </si>
  <si>
    <t>Utilidad Antes de Impuestos</t>
  </si>
  <si>
    <t>Impuestos</t>
  </si>
  <si>
    <t>Utilidad Neta</t>
  </si>
  <si>
    <t>Real</t>
  </si>
  <si>
    <t>Variación</t>
  </si>
  <si>
    <t>Costeo Directo</t>
  </si>
  <si>
    <t>Presupuesto Original</t>
  </si>
  <si>
    <t>Presupuesto Flexible</t>
  </si>
  <si>
    <t>Utilidad Antes de Intereses</t>
  </si>
  <si>
    <t>Intereses</t>
  </si>
  <si>
    <t>IR</t>
  </si>
  <si>
    <t>Utulidad Neta</t>
  </si>
  <si>
    <t>Activos</t>
  </si>
  <si>
    <t>Financiamiento Expontaneo</t>
  </si>
  <si>
    <t>Préstamos</t>
  </si>
  <si>
    <t>Patrimonio</t>
  </si>
  <si>
    <t>Pasivo y Parimonio</t>
  </si>
  <si>
    <t>Escenario 1</t>
  </si>
  <si>
    <t>Escenario 2 Apalacamiento Operativo</t>
  </si>
  <si>
    <t>ROE</t>
  </si>
  <si>
    <t>Escenario 3 Apalacamiento Operativo + Apalancamiento Financiero</t>
  </si>
  <si>
    <t>Escenario 1 + 10% en ventas</t>
  </si>
  <si>
    <t>Escenario 2 Apalacamiento Operativo+ 10% en ventas</t>
  </si>
  <si>
    <t>Dif</t>
  </si>
  <si>
    <t>Empresas</t>
  </si>
  <si>
    <t>A</t>
  </si>
  <si>
    <t>B</t>
  </si>
  <si>
    <t>C</t>
  </si>
  <si>
    <t>Estado de Resultados</t>
  </si>
  <si>
    <t>Margen de Contribución total</t>
  </si>
  <si>
    <t>Utilidad Operacional</t>
  </si>
  <si>
    <t>Estructura Financiera</t>
  </si>
  <si>
    <r>
      <t xml:space="preserve">Deuda </t>
    </r>
    <r>
      <rPr>
        <b/>
        <u/>
        <sz val="20"/>
        <color rgb="FF000000"/>
        <rFont val="Calibri"/>
        <family val="2"/>
      </rPr>
      <t>con Costo</t>
    </r>
  </si>
  <si>
    <t>Total Financiamiento</t>
  </si>
  <si>
    <t>Número de Acciones</t>
  </si>
  <si>
    <t>Utilidad por Acción</t>
  </si>
  <si>
    <t>Interés 12%</t>
  </si>
  <si>
    <t>Utilidad después de Intereses</t>
  </si>
  <si>
    <t>Impuesto 35%</t>
  </si>
  <si>
    <t>Apalancamientos</t>
  </si>
  <si>
    <t>Apalancamiento Operativo</t>
  </si>
  <si>
    <t>Apalancamiento Financiero</t>
  </si>
  <si>
    <t>Apalancamiento Combinado</t>
  </si>
  <si>
    <t>Puntos de Equilibrio</t>
  </si>
  <si>
    <t>Operativo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</si>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</sst>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5" formatCode="_ * #,##0_ ;_ * \-#,##0_ ;_ * &quot;-&quot;??_ ;_ @_ "/>
    <numFmt numFmtId="166" formatCode="0.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8"/>
      <name val="Arial"/>
      <family val="2"/>
    </font>
    <font>
      <b/>
      <sz val="20"/>
      <color rgb="FF000000"/>
      <name val="Calibri"/>
      <family val="2"/>
    </font>
    <font>
      <b/>
      <i/>
      <sz val="20"/>
      <color rgb="FF000000"/>
      <name val="Calibri"/>
      <family val="2"/>
    </font>
    <font>
      <sz val="20"/>
      <color rgb="FF000000"/>
      <name val="Calibri"/>
      <family val="2"/>
    </font>
    <font>
      <b/>
      <u/>
      <sz val="2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FD5EA"/>
        <bgColor indexed="64"/>
      </patternFill>
    </fill>
    <fill>
      <patternFill patternType="solid">
        <fgColor rgb="FFE9EBF5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9" fontId="0" fillId="0" borderId="0" xfId="0" applyNumberFormat="1"/>
    <xf numFmtId="9" fontId="0" fillId="2" borderId="0" xfId="0" applyNumberFormat="1" applyFill="1"/>
    <xf numFmtId="43" fontId="0" fillId="0" borderId="0" xfId="1" applyFont="1"/>
    <xf numFmtId="165" fontId="0" fillId="0" borderId="0" xfId="1" applyNumberFormat="1" applyFont="1"/>
    <xf numFmtId="165" fontId="0" fillId="0" borderId="0" xfId="0" applyNumberFormat="1"/>
    <xf numFmtId="10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5" fontId="0" fillId="3" borderId="0" xfId="0" applyNumberFormat="1" applyFill="1"/>
    <xf numFmtId="165" fontId="0" fillId="4" borderId="0" xfId="0" applyNumberFormat="1" applyFill="1"/>
    <xf numFmtId="165" fontId="0" fillId="4" borderId="0" xfId="1" applyNumberFormat="1" applyFont="1" applyFill="1"/>
    <xf numFmtId="165" fontId="0" fillId="5" borderId="0" xfId="1" applyNumberFormat="1" applyFont="1" applyFill="1"/>
    <xf numFmtId="165" fontId="0" fillId="5" borderId="0" xfId="0" applyNumberFormat="1" applyFill="1"/>
    <xf numFmtId="165" fontId="0" fillId="6" borderId="0" xfId="0" applyNumberFormat="1" applyFill="1"/>
    <xf numFmtId="165" fontId="4" fillId="0" borderId="0" xfId="0" applyNumberFormat="1" applyFont="1"/>
    <xf numFmtId="165" fontId="4" fillId="2" borderId="0" xfId="0" applyNumberFormat="1" applyFont="1" applyFill="1"/>
    <xf numFmtId="165" fontId="2" fillId="0" borderId="0" xfId="0" applyNumberFormat="1" applyFont="1"/>
    <xf numFmtId="165" fontId="2" fillId="6" borderId="0" xfId="0" applyNumberFormat="1" applyFont="1" applyFill="1"/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wrapText="1"/>
    </xf>
    <xf numFmtId="0" fontId="0" fillId="5" borderId="0" xfId="0" applyFill="1"/>
    <xf numFmtId="43" fontId="0" fillId="0" borderId="0" xfId="0" applyNumberFormat="1"/>
    <xf numFmtId="9" fontId="0" fillId="0" borderId="0" xfId="2" applyFont="1"/>
    <xf numFmtId="0" fontId="0" fillId="0" borderId="0" xfId="0" applyAlignment="1">
      <alignment horizontal="center" vertical="center" wrapText="1"/>
    </xf>
    <xf numFmtId="166" fontId="0" fillId="0" borderId="0" xfId="2" applyNumberFormat="1" applyFont="1"/>
    <xf numFmtId="10" fontId="0" fillId="0" borderId="0" xfId="2" applyNumberFormat="1" applyFont="1"/>
    <xf numFmtId="9" fontId="0" fillId="0" borderId="0" xfId="2" applyNumberFormat="1" applyFont="1"/>
    <xf numFmtId="0" fontId="0" fillId="0" borderId="0" xfId="0" applyAlignment="1">
      <alignment wrapText="1"/>
    </xf>
    <xf numFmtId="0" fontId="5" fillId="7" borderId="1" xfId="0" applyFont="1" applyFill="1" applyBorder="1" applyAlignment="1">
      <alignment wrapText="1"/>
    </xf>
    <xf numFmtId="0" fontId="7" fillId="9" borderId="6" xfId="0" applyFont="1" applyFill="1" applyBorder="1" applyAlignment="1">
      <alignment horizontal="center" wrapText="1" readingOrder="1"/>
    </xf>
    <xf numFmtId="0" fontId="5" fillId="9" borderId="6" xfId="0" applyFont="1" applyFill="1" applyBorder="1" applyAlignment="1">
      <alignment wrapText="1"/>
    </xf>
    <xf numFmtId="0" fontId="8" fillId="8" borderId="6" xfId="0" applyFont="1" applyFill="1" applyBorder="1" applyAlignment="1">
      <alignment horizontal="left" wrapText="1" readingOrder="1"/>
    </xf>
    <xf numFmtId="0" fontId="8" fillId="9" borderId="6" xfId="0" applyFont="1" applyFill="1" applyBorder="1" applyAlignment="1">
      <alignment horizontal="left" wrapText="1" readingOrder="1"/>
    </xf>
    <xf numFmtId="0" fontId="7" fillId="8" borderId="6" xfId="0" applyFont="1" applyFill="1" applyBorder="1" applyAlignment="1">
      <alignment horizontal="center" wrapText="1" readingOrder="1"/>
    </xf>
    <xf numFmtId="0" fontId="5" fillId="8" borderId="6" xfId="0" applyFont="1" applyFill="1" applyBorder="1" applyAlignment="1">
      <alignment wrapText="1"/>
    </xf>
    <xf numFmtId="0" fontId="5" fillId="7" borderId="1" xfId="0" applyFont="1" applyFill="1" applyBorder="1" applyAlignment="1"/>
    <xf numFmtId="0" fontId="6" fillId="7" borderId="2" xfId="0" applyFont="1" applyFill="1" applyBorder="1" applyAlignment="1">
      <alignment horizontal="center" vertical="center" readingOrder="1"/>
    </xf>
    <xf numFmtId="0" fontId="6" fillId="7" borderId="3" xfId="0" applyFont="1" applyFill="1" applyBorder="1" applyAlignment="1">
      <alignment horizontal="center" vertical="center" readingOrder="1"/>
    </xf>
    <xf numFmtId="0" fontId="6" fillId="7" borderId="4" xfId="0" applyFont="1" applyFill="1" applyBorder="1" applyAlignment="1">
      <alignment horizontal="center" vertical="center" readingOrder="1"/>
    </xf>
    <xf numFmtId="0" fontId="5" fillId="8" borderId="5" xfId="0" applyFont="1" applyFill="1" applyBorder="1" applyAlignment="1"/>
    <xf numFmtId="0" fontId="6" fillId="8" borderId="5" xfId="0" applyFont="1" applyFill="1" applyBorder="1" applyAlignment="1">
      <alignment horizontal="center" vertical="center" readingOrder="1"/>
    </xf>
    <xf numFmtId="0" fontId="7" fillId="9" borderId="6" xfId="0" applyFont="1" applyFill="1" applyBorder="1" applyAlignment="1">
      <alignment horizontal="center" readingOrder="1"/>
    </xf>
    <xf numFmtId="0" fontId="5" fillId="9" borderId="6" xfId="0" applyFont="1" applyFill="1" applyBorder="1" applyAlignment="1"/>
    <xf numFmtId="0" fontId="8" fillId="8" borderId="6" xfId="0" applyFont="1" applyFill="1" applyBorder="1" applyAlignment="1">
      <alignment horizontal="left" readingOrder="1"/>
    </xf>
    <xf numFmtId="3" fontId="8" fillId="8" borderId="6" xfId="0" applyNumberFormat="1" applyFont="1" applyFill="1" applyBorder="1" applyAlignment="1">
      <alignment horizontal="left" readingOrder="1"/>
    </xf>
    <xf numFmtId="0" fontId="8" fillId="9" borderId="6" xfId="0" applyFont="1" applyFill="1" applyBorder="1" applyAlignment="1">
      <alignment horizontal="left" readingOrder="1"/>
    </xf>
    <xf numFmtId="3" fontId="8" fillId="9" borderId="6" xfId="0" applyNumberFormat="1" applyFont="1" applyFill="1" applyBorder="1" applyAlignment="1">
      <alignment horizontal="left" readingOrder="1"/>
    </xf>
    <xf numFmtId="0" fontId="7" fillId="8" borderId="6" xfId="0" applyFont="1" applyFill="1" applyBorder="1" applyAlignment="1">
      <alignment horizontal="center" readingOrder="1"/>
    </xf>
    <xf numFmtId="0" fontId="5" fillId="8" borderId="6" xfId="0" applyFont="1" applyFill="1" applyBorder="1" applyAlignment="1"/>
    <xf numFmtId="0" fontId="7" fillId="7" borderId="1" xfId="0" applyFont="1" applyFill="1" applyBorder="1" applyAlignment="1">
      <alignment horizontal="center" wrapText="1" readingOrder="1"/>
    </xf>
    <xf numFmtId="0" fontId="8" fillId="8" borderId="5" xfId="0" applyFont="1" applyFill="1" applyBorder="1" applyAlignment="1">
      <alignment horizontal="left" wrapText="1" readingOrder="1"/>
    </xf>
    <xf numFmtId="3" fontId="5" fillId="8" borderId="5" xfId="0" applyNumberFormat="1" applyFont="1" applyFill="1" applyBorder="1" applyAlignment="1">
      <alignment wrapText="1"/>
    </xf>
    <xf numFmtId="43" fontId="5" fillId="9" borderId="6" xfId="1" applyFont="1" applyFill="1" applyBorder="1" applyAlignment="1">
      <alignment wrapText="1"/>
    </xf>
    <xf numFmtId="165" fontId="5" fillId="9" borderId="6" xfId="1" applyNumberFormat="1" applyFont="1" applyFill="1" applyBorder="1" applyAlignment="1">
      <alignment wrapText="1"/>
    </xf>
    <xf numFmtId="165" fontId="5" fillId="8" borderId="6" xfId="0" applyNumberFormat="1" applyFont="1" applyFill="1" applyBorder="1" applyAlignment="1">
      <alignment wrapText="1"/>
    </xf>
    <xf numFmtId="43" fontId="5" fillId="9" borderId="6" xfId="0" applyNumberFormat="1" applyFont="1" applyFill="1" applyBorder="1" applyAlignment="1">
      <alignment wrapText="1"/>
    </xf>
    <xf numFmtId="43" fontId="5" fillId="8" borderId="6" xfId="0" applyNumberFormat="1" applyFont="1" applyFill="1" applyBorder="1" applyAlignment="1">
      <alignment wrapText="1"/>
    </xf>
    <xf numFmtId="0" fontId="7" fillId="7" borderId="1" xfId="0" applyFont="1" applyFill="1" applyBorder="1" applyAlignment="1">
      <alignment horizontal="center" readingOrder="1"/>
    </xf>
    <xf numFmtId="0" fontId="8" fillId="8" borderId="5" xfId="0" applyFont="1" applyFill="1" applyBorder="1" applyAlignment="1">
      <alignment horizontal="left" readingOrder="1"/>
    </xf>
    <xf numFmtId="3" fontId="5" fillId="8" borderId="5" xfId="0" applyNumberFormat="1" applyFont="1" applyFill="1" applyBorder="1" applyAlignment="1"/>
    <xf numFmtId="165" fontId="5" fillId="9" borderId="6" xfId="1" applyNumberFormat="1" applyFont="1" applyFill="1" applyBorder="1" applyAlignment="1"/>
    <xf numFmtId="165" fontId="5" fillId="8" borderId="6" xfId="0" applyNumberFormat="1" applyFont="1" applyFill="1" applyBorder="1" applyAlignment="1"/>
    <xf numFmtId="43" fontId="5" fillId="9" borderId="6" xfId="1" applyFont="1" applyFill="1" applyBorder="1" applyAlignment="1"/>
    <xf numFmtId="43" fontId="5" fillId="9" borderId="6" xfId="0" applyNumberFormat="1" applyFont="1" applyFill="1" applyBorder="1" applyAlignment="1"/>
    <xf numFmtId="43" fontId="5" fillId="8" borderId="6" xfId="0" applyNumberFormat="1" applyFont="1" applyFill="1" applyBorder="1" applyAlignment="1"/>
    <xf numFmtId="43" fontId="5" fillId="8" borderId="6" xfId="1" applyFont="1" applyFill="1" applyBorder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0DCCC-C95E-438E-AFEA-172ACB1795A3}">
  <dimension ref="A1:H9"/>
  <sheetViews>
    <sheetView zoomScale="140" zoomScaleNormal="140" workbookViewId="0">
      <selection activeCell="A3" sqref="A3:A9"/>
    </sheetView>
  </sheetViews>
  <sheetFormatPr baseColWidth="10" defaultRowHeight="14.5" x14ac:dyDescent="0.35"/>
  <cols>
    <col min="1" max="1" width="14.453125" bestFit="1" customWidth="1"/>
    <col min="3" max="3" width="12.1796875" customWidth="1"/>
    <col min="4" max="4" width="13.453125" bestFit="1" customWidth="1"/>
    <col min="7" max="7" width="11.7265625" customWidth="1"/>
  </cols>
  <sheetData>
    <row r="1" spans="1:8" x14ac:dyDescent="0.35">
      <c r="C1" s="8" t="s">
        <v>9</v>
      </c>
      <c r="D1" s="8"/>
    </row>
    <row r="2" spans="1:8" ht="29" x14ac:dyDescent="0.35">
      <c r="C2" s="9" t="s">
        <v>10</v>
      </c>
      <c r="D2" s="20" t="s">
        <v>7</v>
      </c>
      <c r="E2" s="7" t="s">
        <v>8</v>
      </c>
      <c r="G2" s="21" t="s">
        <v>11</v>
      </c>
      <c r="H2" s="7" t="s">
        <v>8</v>
      </c>
    </row>
    <row r="3" spans="1:8" x14ac:dyDescent="0.35">
      <c r="A3" t="s">
        <v>0</v>
      </c>
      <c r="C3" s="4">
        <v>100000</v>
      </c>
      <c r="D3" s="13">
        <v>120000</v>
      </c>
      <c r="E3" s="16">
        <f>+D3-C3</f>
        <v>20000</v>
      </c>
      <c r="G3" s="14">
        <f>+D3</f>
        <v>120000</v>
      </c>
      <c r="H3" s="5">
        <f>+D3-G3</f>
        <v>0</v>
      </c>
    </row>
    <row r="4" spans="1:8" x14ac:dyDescent="0.35">
      <c r="A4" t="s">
        <v>1</v>
      </c>
      <c r="B4" s="2">
        <v>0.6</v>
      </c>
      <c r="C4" s="4">
        <f>+C3*B4</f>
        <v>60000</v>
      </c>
      <c r="D4" s="4">
        <f>+D3*70%</f>
        <v>84000</v>
      </c>
      <c r="E4" s="18">
        <f>+C4-D4</f>
        <v>-24000</v>
      </c>
      <c r="G4" s="5">
        <f>+B4*G3</f>
        <v>72000</v>
      </c>
      <c r="H4" s="5">
        <f>+G4-D4</f>
        <v>-12000</v>
      </c>
    </row>
    <row r="5" spans="1:8" x14ac:dyDescent="0.35">
      <c r="A5" t="s">
        <v>2</v>
      </c>
      <c r="C5" s="5">
        <f>+C3-C4</f>
        <v>40000</v>
      </c>
      <c r="D5" s="4">
        <f>+D3-D4</f>
        <v>36000</v>
      </c>
      <c r="E5" s="16">
        <f>+D5-C5</f>
        <v>-4000</v>
      </c>
      <c r="G5" s="5">
        <f>+G3-G4</f>
        <v>48000</v>
      </c>
      <c r="H5" s="5">
        <f>+D5-G5</f>
        <v>-12000</v>
      </c>
    </row>
    <row r="6" spans="1:8" x14ac:dyDescent="0.35">
      <c r="A6" t="s">
        <v>3</v>
      </c>
      <c r="C6" s="12">
        <v>25000</v>
      </c>
      <c r="D6" s="4">
        <v>29000</v>
      </c>
      <c r="E6" s="19">
        <f>+C6-D6</f>
        <v>-4000</v>
      </c>
      <c r="G6" s="11">
        <f>+C6</f>
        <v>25000</v>
      </c>
      <c r="H6" s="15">
        <f>+G6-D6</f>
        <v>-4000</v>
      </c>
    </row>
    <row r="7" spans="1:8" x14ac:dyDescent="0.35">
      <c r="A7" t="s">
        <v>4</v>
      </c>
      <c r="C7" s="5">
        <f>+C5-C6</f>
        <v>15000</v>
      </c>
      <c r="D7" s="4">
        <f>+D5-D6</f>
        <v>7000</v>
      </c>
      <c r="E7" s="16">
        <f>+D7-C7</f>
        <v>-8000</v>
      </c>
      <c r="G7" s="5">
        <f>+G5-G6</f>
        <v>23000</v>
      </c>
      <c r="H7" s="5">
        <f>+D7-G7</f>
        <v>-16000</v>
      </c>
    </row>
    <row r="8" spans="1:8" x14ac:dyDescent="0.35">
      <c r="A8" t="s">
        <v>5</v>
      </c>
      <c r="B8" s="6">
        <v>0.36249999999999999</v>
      </c>
      <c r="C8" s="4">
        <f>+C7*B8</f>
        <v>5437.5</v>
      </c>
      <c r="D8" s="4">
        <f>+D7*$B$8</f>
        <v>2537.5</v>
      </c>
      <c r="E8" s="18">
        <f>+C8-D8</f>
        <v>2900</v>
      </c>
      <c r="G8" s="4">
        <f>+G7*36.25%</f>
        <v>8337.5</v>
      </c>
      <c r="H8" s="5">
        <f>+G8-D8</f>
        <v>5800</v>
      </c>
    </row>
    <row r="9" spans="1:8" x14ac:dyDescent="0.35">
      <c r="A9" t="s">
        <v>6</v>
      </c>
      <c r="C9" s="5">
        <f>+C7-C8</f>
        <v>9562.5</v>
      </c>
      <c r="D9" s="4">
        <f>+D7-D8</f>
        <v>4462.5</v>
      </c>
      <c r="E9" s="17">
        <f>+D9-C9</f>
        <v>-5100</v>
      </c>
      <c r="G9" s="5">
        <f>+G7-G8</f>
        <v>14662.5</v>
      </c>
      <c r="H9" s="10">
        <f>+D9-G9</f>
        <v>-10200</v>
      </c>
    </row>
  </sheetData>
  <mergeCells count="1"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91F37-A61B-442E-B195-DB2933BE11AB}">
  <dimension ref="A3:Q18"/>
  <sheetViews>
    <sheetView topLeftCell="A13" zoomScale="130" zoomScaleNormal="130" workbookViewId="0">
      <pane xSplit="1" topLeftCell="I1" activePane="topRight" state="frozen"/>
      <selection activeCell="A2" sqref="A2"/>
      <selection pane="topRight" activeCell="O18" sqref="O18"/>
    </sheetView>
  </sheetViews>
  <sheetFormatPr baseColWidth="10" defaultRowHeight="14.5" x14ac:dyDescent="0.35"/>
  <cols>
    <col min="1" max="1" width="23.453125" bestFit="1" customWidth="1"/>
    <col min="5" max="5" width="15.54296875" customWidth="1"/>
    <col min="8" max="8" width="13.81640625" customWidth="1"/>
  </cols>
  <sheetData>
    <row r="3" spans="1:17" ht="101.5" x14ac:dyDescent="0.35">
      <c r="C3" t="s">
        <v>21</v>
      </c>
      <c r="E3" s="25" t="s">
        <v>22</v>
      </c>
      <c r="H3" s="25" t="s">
        <v>24</v>
      </c>
      <c r="M3" s="29" t="s">
        <v>25</v>
      </c>
      <c r="O3" s="25" t="s">
        <v>26</v>
      </c>
      <c r="Q3" s="25" t="s">
        <v>24</v>
      </c>
    </row>
    <row r="4" spans="1:17" x14ac:dyDescent="0.35">
      <c r="A4" t="s">
        <v>0</v>
      </c>
      <c r="C4" s="3">
        <v>150</v>
      </c>
      <c r="E4" s="3">
        <v>150</v>
      </c>
      <c r="H4" s="3">
        <v>150</v>
      </c>
      <c r="M4" s="3">
        <v>135</v>
      </c>
      <c r="O4" s="3">
        <f>+M4</f>
        <v>135</v>
      </c>
      <c r="Q4" s="3">
        <f>+O4</f>
        <v>135</v>
      </c>
    </row>
    <row r="5" spans="1:17" x14ac:dyDescent="0.35">
      <c r="A5" t="s">
        <v>1</v>
      </c>
      <c r="B5" s="1">
        <v>0.6</v>
      </c>
      <c r="C5" s="3">
        <f>+$B$5*C4</f>
        <v>90</v>
      </c>
      <c r="D5" s="1">
        <v>-0.2</v>
      </c>
      <c r="E5" s="3">
        <f>+C5*0.8</f>
        <v>72</v>
      </c>
      <c r="F5" s="23"/>
      <c r="H5" s="3">
        <f>+E5</f>
        <v>72</v>
      </c>
      <c r="M5" s="3">
        <f>+$B$5*M4</f>
        <v>81</v>
      </c>
      <c r="N5" s="26">
        <f>+M5/M4*80%</f>
        <v>0.48</v>
      </c>
      <c r="O5" s="3">
        <f>+O4*N5</f>
        <v>64.8</v>
      </c>
      <c r="Q5" s="3">
        <f>+N5*Q4</f>
        <v>64.8</v>
      </c>
    </row>
    <row r="6" spans="1:17" x14ac:dyDescent="0.35">
      <c r="A6" t="s">
        <v>2</v>
      </c>
      <c r="C6" s="3">
        <f>+C4-C5</f>
        <v>60</v>
      </c>
      <c r="E6" s="3">
        <f>+E4-E5</f>
        <v>78</v>
      </c>
      <c r="H6" s="3">
        <f>+H4-H5</f>
        <v>78</v>
      </c>
      <c r="M6" s="3">
        <f>+M4-M5</f>
        <v>54</v>
      </c>
      <c r="O6" s="3">
        <f>+O4-O5</f>
        <v>70.2</v>
      </c>
      <c r="Q6" s="3">
        <f>+Q4-Q5</f>
        <v>70.2</v>
      </c>
    </row>
    <row r="7" spans="1:17" x14ac:dyDescent="0.35">
      <c r="A7" s="22" t="s">
        <v>3</v>
      </c>
      <c r="C7" s="3">
        <v>25</v>
      </c>
      <c r="D7" s="1">
        <v>0.2</v>
      </c>
      <c r="E7" s="3">
        <f>+C7*1.2</f>
        <v>30</v>
      </c>
      <c r="H7" s="3">
        <f>+E7</f>
        <v>30</v>
      </c>
      <c r="M7" s="3">
        <v>25</v>
      </c>
      <c r="O7" s="3">
        <f>+M7*1.2</f>
        <v>30</v>
      </c>
      <c r="Q7" s="3">
        <f>+O7</f>
        <v>30</v>
      </c>
    </row>
    <row r="8" spans="1:17" x14ac:dyDescent="0.35">
      <c r="A8" t="s">
        <v>12</v>
      </c>
      <c r="C8" s="3">
        <f>+C6-C7</f>
        <v>35</v>
      </c>
      <c r="E8" s="3">
        <f>+E6-E7</f>
        <v>48</v>
      </c>
      <c r="F8" s="23">
        <f>+E8-C8</f>
        <v>13</v>
      </c>
      <c r="G8" s="24">
        <f>+F8/C8</f>
        <v>0.37142857142857144</v>
      </c>
      <c r="H8" s="3">
        <f>+H6-H7</f>
        <v>48</v>
      </c>
      <c r="M8" s="3">
        <f>+M6-M7</f>
        <v>29</v>
      </c>
      <c r="N8" s="24">
        <f>+M8/C8-1</f>
        <v>-0.17142857142857137</v>
      </c>
      <c r="O8" s="3">
        <f>+O6-O7</f>
        <v>40.200000000000003</v>
      </c>
      <c r="P8" s="24">
        <f>+O8/E8-1</f>
        <v>-0.16249999999999998</v>
      </c>
      <c r="Q8" s="3">
        <f>+Q6-Q7</f>
        <v>40.200000000000003</v>
      </c>
    </row>
    <row r="9" spans="1:17" x14ac:dyDescent="0.35">
      <c r="A9" t="s">
        <v>13</v>
      </c>
      <c r="C9" s="3">
        <f>+D16*E16</f>
        <v>17.5</v>
      </c>
      <c r="E9" s="3">
        <f>+D16*E16</f>
        <v>17.5</v>
      </c>
      <c r="H9" s="3">
        <f>+J16*E16</f>
        <v>24.500000000000004</v>
      </c>
      <c r="M9" s="3">
        <f>+C9</f>
        <v>17.5</v>
      </c>
      <c r="O9" s="3">
        <f>+M9</f>
        <v>17.5</v>
      </c>
      <c r="Q9" s="3">
        <f>+H9</f>
        <v>24.500000000000004</v>
      </c>
    </row>
    <row r="10" spans="1:17" x14ac:dyDescent="0.35">
      <c r="A10" t="s">
        <v>4</v>
      </c>
      <c r="C10" s="3">
        <f>+C8-C9</f>
        <v>17.5</v>
      </c>
      <c r="E10" s="3">
        <f>+E8-E9</f>
        <v>30.5</v>
      </c>
      <c r="H10" s="3">
        <f>+H8-H9</f>
        <v>23.499999999999996</v>
      </c>
      <c r="M10" s="3">
        <f>+M8-M9</f>
        <v>11.5</v>
      </c>
      <c r="O10" s="3">
        <f>+O8-O9</f>
        <v>22.700000000000003</v>
      </c>
      <c r="Q10" s="3">
        <f>+Q8-Q9</f>
        <v>15.7</v>
      </c>
    </row>
    <row r="11" spans="1:17" x14ac:dyDescent="0.35">
      <c r="A11" t="s">
        <v>14</v>
      </c>
      <c r="C11" s="3">
        <f>+C10*36.25%</f>
        <v>6.34375</v>
      </c>
      <c r="E11" s="3">
        <f>+E10*36.25%</f>
        <v>11.05625</v>
      </c>
      <c r="H11" s="3">
        <f>+H10*36.25%</f>
        <v>8.5187499999999989</v>
      </c>
      <c r="M11" s="3">
        <f>+M10*36.25%</f>
        <v>4.1687500000000002</v>
      </c>
      <c r="O11" s="3">
        <f>+O10*36.25%</f>
        <v>8.2287500000000016</v>
      </c>
      <c r="Q11" s="3">
        <f>+Q10*36.25%</f>
        <v>5.6912499999999993</v>
      </c>
    </row>
    <row r="12" spans="1:17" x14ac:dyDescent="0.35">
      <c r="A12" t="s">
        <v>15</v>
      </c>
      <c r="C12" s="3">
        <f>+C10-C11</f>
        <v>11.15625</v>
      </c>
      <c r="E12" s="3">
        <f>+E10-E11</f>
        <v>19.443750000000001</v>
      </c>
      <c r="F12" s="23">
        <f>+E12-C12</f>
        <v>8.2875000000000014</v>
      </c>
      <c r="G12" s="24">
        <f>+F12/C12</f>
        <v>0.74285714285714299</v>
      </c>
      <c r="H12" s="3">
        <f>+H10-H11</f>
        <v>14.981249999999998</v>
      </c>
      <c r="M12" s="3">
        <f>+M10-M11</f>
        <v>7.3312499999999998</v>
      </c>
      <c r="O12" s="3">
        <f>+O10-O11</f>
        <v>14.471250000000001</v>
      </c>
      <c r="Q12" s="3">
        <f>+Q10-Q11</f>
        <v>10.008749999999999</v>
      </c>
    </row>
    <row r="13" spans="1:17" x14ac:dyDescent="0.35">
      <c r="J13" t="s">
        <v>27</v>
      </c>
      <c r="M13" s="23">
        <f>+M12-C12</f>
        <v>-3.8250000000000002</v>
      </c>
      <c r="N13" t="s">
        <v>27</v>
      </c>
      <c r="O13" s="23">
        <f>+O12-E12</f>
        <v>-4.9725000000000001</v>
      </c>
      <c r="Q13" s="23">
        <f>+Q12-H12</f>
        <v>-4.9724999999999984</v>
      </c>
    </row>
    <row r="14" spans="1:17" x14ac:dyDescent="0.35">
      <c r="M14" s="28">
        <f>+M13/C12</f>
        <v>-0.34285714285714286</v>
      </c>
      <c r="O14" s="24">
        <f>+O13/E12</f>
        <v>-0.25573770491803277</v>
      </c>
      <c r="Q14" s="24">
        <f>+Q13/H12</f>
        <v>-0.3319148936170212</v>
      </c>
    </row>
    <row r="15" spans="1:17" x14ac:dyDescent="0.35">
      <c r="C15" t="s">
        <v>17</v>
      </c>
      <c r="D15">
        <v>100</v>
      </c>
      <c r="I15" t="s">
        <v>17</v>
      </c>
      <c r="J15">
        <v>100</v>
      </c>
      <c r="M15" s="6">
        <f>+E17</f>
        <v>7.4374999999999997E-2</v>
      </c>
      <c r="O15" s="1">
        <f>+G17</f>
        <v>0.12962500000000002</v>
      </c>
      <c r="Q15" s="1">
        <f>+K17</f>
        <v>0.29962499999999997</v>
      </c>
    </row>
    <row r="16" spans="1:17" x14ac:dyDescent="0.35">
      <c r="C16" t="s">
        <v>18</v>
      </c>
      <c r="D16">
        <v>250</v>
      </c>
      <c r="E16" s="6">
        <v>7.0000000000000007E-2</v>
      </c>
      <c r="I16" t="s">
        <v>18</v>
      </c>
      <c r="J16">
        <v>350</v>
      </c>
      <c r="K16" t="s">
        <v>23</v>
      </c>
      <c r="L16" t="s">
        <v>23</v>
      </c>
      <c r="M16" s="28">
        <f>+M12/D17</f>
        <v>4.8875000000000002E-2</v>
      </c>
      <c r="O16" s="24">
        <f>+O12/D17</f>
        <v>9.6475000000000005E-2</v>
      </c>
      <c r="Q16" s="24">
        <f>+Q12/J17</f>
        <v>0.20017499999999999</v>
      </c>
    </row>
    <row r="17" spans="1:17" x14ac:dyDescent="0.35">
      <c r="C17" t="s">
        <v>19</v>
      </c>
      <c r="D17">
        <f>+B18-D16-D15</f>
        <v>150</v>
      </c>
      <c r="E17" s="27">
        <f>+C12/D17</f>
        <v>7.4374999999999997E-2</v>
      </c>
      <c r="F17" t="s">
        <v>23</v>
      </c>
      <c r="G17" s="28">
        <f>+E12/D17</f>
        <v>0.12962500000000002</v>
      </c>
      <c r="I17" t="s">
        <v>19</v>
      </c>
      <c r="J17">
        <f>+H18-J16-J15</f>
        <v>50</v>
      </c>
      <c r="K17" s="28">
        <f>+H12/J17</f>
        <v>0.29962499999999997</v>
      </c>
    </row>
    <row r="18" spans="1:17" x14ac:dyDescent="0.35">
      <c r="A18" t="s">
        <v>16</v>
      </c>
      <c r="B18">
        <v>500</v>
      </c>
      <c r="C18" t="s">
        <v>20</v>
      </c>
      <c r="D18">
        <f>SUM(D15:D17)</f>
        <v>500</v>
      </c>
      <c r="G18" t="s">
        <v>16</v>
      </c>
      <c r="H18">
        <v>500</v>
      </c>
      <c r="I18" t="s">
        <v>20</v>
      </c>
      <c r="J18">
        <f>SUM(J15:J17)</f>
        <v>500</v>
      </c>
      <c r="M18" s="28">
        <v>9.9875000000000005E-2</v>
      </c>
      <c r="O18" s="24">
        <v>0.16277499999999998</v>
      </c>
      <c r="Q18" s="24">
        <v>0.3990749999999999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8809-AD49-4D0E-AB00-9EAB5C0173A1}">
  <dimension ref="A1:V3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7" sqref="C7"/>
    </sheetView>
  </sheetViews>
  <sheetFormatPr baseColWidth="10" defaultRowHeight="14.5" x14ac:dyDescent="0.35"/>
  <cols>
    <col min="1" max="1" width="45.26953125" bestFit="1" customWidth="1"/>
    <col min="2" max="2" width="20.453125" bestFit="1" customWidth="1"/>
    <col min="3" max="4" width="17.6328125" bestFit="1" customWidth="1"/>
    <col min="7" max="7" width="45.26953125" bestFit="1" customWidth="1"/>
    <col min="8" max="10" width="13" bestFit="1" customWidth="1"/>
    <col min="13" max="13" width="45.36328125" bestFit="1" customWidth="1"/>
    <col min="14" max="16" width="21.36328125" bestFit="1" customWidth="1"/>
    <col min="18" max="18" width="11.54296875" bestFit="1" customWidth="1"/>
    <col min="19" max="21" width="21.36328125" bestFit="1" customWidth="1"/>
  </cols>
  <sheetData>
    <row r="1" spans="1:22" ht="26.5" thickBot="1" x14ac:dyDescent="0.5">
      <c r="A1" s="37"/>
      <c r="B1" s="38" t="s">
        <v>28</v>
      </c>
      <c r="C1" s="39"/>
      <c r="D1" s="40"/>
      <c r="G1" s="37"/>
      <c r="H1" s="38" t="s">
        <v>28</v>
      </c>
      <c r="I1" s="39"/>
      <c r="J1" s="40"/>
      <c r="M1" s="37"/>
      <c r="N1" s="38" t="s">
        <v>28</v>
      </c>
      <c r="O1" s="39"/>
      <c r="P1" s="40"/>
    </row>
    <row r="2" spans="1:22" ht="27" thickTop="1" thickBot="1" x14ac:dyDescent="0.5">
      <c r="A2" s="41"/>
      <c r="B2" s="42" t="s">
        <v>29</v>
      </c>
      <c r="C2" s="42" t="s">
        <v>30</v>
      </c>
      <c r="D2" s="42" t="s">
        <v>31</v>
      </c>
      <c r="G2" s="41"/>
      <c r="H2" s="42" t="s">
        <v>29</v>
      </c>
      <c r="I2" s="42" t="s">
        <v>30</v>
      </c>
      <c r="J2" s="42" t="s">
        <v>31</v>
      </c>
      <c r="M2" s="41"/>
      <c r="N2" s="42" t="s">
        <v>29</v>
      </c>
      <c r="O2" s="42" t="s">
        <v>30</v>
      </c>
      <c r="P2" s="42" t="s">
        <v>31</v>
      </c>
      <c r="S2" s="42" t="s">
        <v>29</v>
      </c>
      <c r="T2" s="42" t="s">
        <v>29</v>
      </c>
      <c r="U2" s="42" t="s">
        <v>29</v>
      </c>
    </row>
    <row r="3" spans="1:22" ht="26.5" thickBot="1" x14ac:dyDescent="0.65">
      <c r="A3" s="43" t="s">
        <v>32</v>
      </c>
      <c r="B3" s="44"/>
      <c r="C3" s="44"/>
      <c r="D3" s="44"/>
      <c r="G3" s="43" t="s">
        <v>32</v>
      </c>
      <c r="H3" s="44"/>
      <c r="I3" s="44"/>
      <c r="J3" s="44"/>
      <c r="M3" s="43" t="s">
        <v>32</v>
      </c>
      <c r="N3" s="44"/>
      <c r="O3" s="44"/>
      <c r="P3" s="44"/>
      <c r="S3" s="44"/>
      <c r="T3" s="44"/>
      <c r="U3" s="44"/>
    </row>
    <row r="4" spans="1:22" ht="26.5" thickBot="1" x14ac:dyDescent="0.65">
      <c r="A4" s="45" t="s">
        <v>0</v>
      </c>
      <c r="B4" s="46">
        <v>100000</v>
      </c>
      <c r="C4" s="46">
        <v>100000</v>
      </c>
      <c r="D4" s="46">
        <v>100000</v>
      </c>
      <c r="G4" s="45" t="s">
        <v>0</v>
      </c>
      <c r="H4" s="46">
        <f>120000*1.1</f>
        <v>132000</v>
      </c>
      <c r="I4" s="46">
        <f>+H4</f>
        <v>132000</v>
      </c>
      <c r="J4" s="46">
        <f>+I4</f>
        <v>132000</v>
      </c>
      <c r="M4" s="45" t="s">
        <v>0</v>
      </c>
      <c r="N4" s="46">
        <v>80000</v>
      </c>
      <c r="O4" s="46">
        <f>+N4</f>
        <v>80000</v>
      </c>
      <c r="P4" s="46">
        <f>+O4</f>
        <v>80000</v>
      </c>
      <c r="R4" s="27">
        <f>+(B4-S4)/B4</f>
        <v>0.1</v>
      </c>
      <c r="S4" s="46">
        <v>90000</v>
      </c>
      <c r="T4" s="46">
        <v>150000</v>
      </c>
      <c r="U4" s="46">
        <v>150000</v>
      </c>
      <c r="V4" s="27">
        <f>+(T4-B4)/B4</f>
        <v>0.5</v>
      </c>
    </row>
    <row r="5" spans="1:22" ht="26.5" thickBot="1" x14ac:dyDescent="0.65">
      <c r="A5" s="47" t="s">
        <v>1</v>
      </c>
      <c r="B5" s="48">
        <v>20000</v>
      </c>
      <c r="C5" s="48">
        <v>60000</v>
      </c>
      <c r="D5" s="48">
        <v>80000</v>
      </c>
      <c r="G5" s="47" t="s">
        <v>1</v>
      </c>
      <c r="H5" s="48">
        <f>+B5/B4*H4</f>
        <v>26400</v>
      </c>
      <c r="I5" s="48">
        <f t="shared" ref="I5:J5" si="0">+C5/C4*I4</f>
        <v>79200</v>
      </c>
      <c r="J5" s="48">
        <f t="shared" si="0"/>
        <v>105600</v>
      </c>
      <c r="M5" s="47" t="s">
        <v>1</v>
      </c>
      <c r="N5" s="48">
        <f>+H5/H4*N4</f>
        <v>16000</v>
      </c>
      <c r="O5" s="48">
        <f t="shared" ref="O5" si="1">+I5/I4*O4</f>
        <v>48000</v>
      </c>
      <c r="P5" s="48">
        <f t="shared" ref="P5" si="2">+J5/J4*P4</f>
        <v>64000</v>
      </c>
      <c r="S5" s="48">
        <f>+S4*20%</f>
        <v>18000</v>
      </c>
      <c r="T5" s="48">
        <f t="shared" ref="T5:U5" si="3">+T4*20%</f>
        <v>30000</v>
      </c>
      <c r="U5" s="48">
        <f t="shared" si="3"/>
        <v>30000</v>
      </c>
    </row>
    <row r="6" spans="1:22" ht="26.5" thickBot="1" x14ac:dyDescent="0.65">
      <c r="A6" s="45" t="s">
        <v>33</v>
      </c>
      <c r="B6" s="46">
        <f>+B4-B5</f>
        <v>80000</v>
      </c>
      <c r="C6" s="46">
        <f t="shared" ref="C6:D6" si="4">+C4-C5</f>
        <v>40000</v>
      </c>
      <c r="D6" s="46">
        <f t="shared" si="4"/>
        <v>20000</v>
      </c>
      <c r="G6" s="45" t="s">
        <v>33</v>
      </c>
      <c r="H6" s="46">
        <f>+H4-H5</f>
        <v>105600</v>
      </c>
      <c r="I6" s="46">
        <f t="shared" ref="I6" si="5">+I4-I5</f>
        <v>52800</v>
      </c>
      <c r="J6" s="46">
        <f t="shared" ref="J6" si="6">+J4-J5</f>
        <v>26400</v>
      </c>
      <c r="M6" s="45" t="s">
        <v>33</v>
      </c>
      <c r="N6" s="46">
        <f>+N4-N5</f>
        <v>64000</v>
      </c>
      <c r="O6" s="46">
        <f t="shared" ref="O6" si="7">+O4-O5</f>
        <v>32000</v>
      </c>
      <c r="P6" s="46">
        <f t="shared" ref="P6" si="8">+P4-P5</f>
        <v>16000</v>
      </c>
      <c r="S6" s="46">
        <f t="shared" ref="S6:U6" si="9">+S4-S5</f>
        <v>72000</v>
      </c>
      <c r="T6" s="46">
        <f t="shared" si="9"/>
        <v>120000</v>
      </c>
      <c r="U6" s="46">
        <f t="shared" si="9"/>
        <v>120000</v>
      </c>
    </row>
    <row r="7" spans="1:22" ht="26.5" thickBot="1" x14ac:dyDescent="0.65">
      <c r="A7" s="47" t="s">
        <v>3</v>
      </c>
      <c r="B7" s="48">
        <v>70000</v>
      </c>
      <c r="C7" s="48">
        <v>30000</v>
      </c>
      <c r="D7" s="48">
        <v>10000</v>
      </c>
      <c r="G7" s="47" t="s">
        <v>3</v>
      </c>
      <c r="H7" s="48">
        <v>70000</v>
      </c>
      <c r="I7" s="48">
        <v>30000</v>
      </c>
      <c r="J7" s="48">
        <v>10000</v>
      </c>
      <c r="M7" s="47" t="s">
        <v>3</v>
      </c>
      <c r="N7" s="48">
        <v>70000</v>
      </c>
      <c r="O7" s="48">
        <v>30000</v>
      </c>
      <c r="P7" s="48">
        <v>10000</v>
      </c>
      <c r="S7" s="48">
        <v>70000</v>
      </c>
      <c r="T7" s="48">
        <v>70000</v>
      </c>
      <c r="U7" s="48">
        <v>70000</v>
      </c>
    </row>
    <row r="8" spans="1:22" ht="26.5" thickBot="1" x14ac:dyDescent="0.65">
      <c r="A8" s="45" t="s">
        <v>34</v>
      </c>
      <c r="B8" s="46">
        <f>+B6-B7</f>
        <v>10000</v>
      </c>
      <c r="C8" s="46">
        <f t="shared" ref="C8:D8" si="10">+C6-C7</f>
        <v>10000</v>
      </c>
      <c r="D8" s="46">
        <f t="shared" si="10"/>
        <v>10000</v>
      </c>
      <c r="G8" s="45" t="s">
        <v>34</v>
      </c>
      <c r="H8" s="46">
        <f>+H6-H7</f>
        <v>35600</v>
      </c>
      <c r="I8" s="46">
        <f t="shared" ref="I8" si="11">+I6-I7</f>
        <v>22800</v>
      </c>
      <c r="J8" s="46">
        <f t="shared" ref="J8" si="12">+J6-J7</f>
        <v>16400</v>
      </c>
      <c r="K8" s="27">
        <f>+H8/26000-1</f>
        <v>0.36923076923076925</v>
      </c>
      <c r="M8" s="45" t="s">
        <v>34</v>
      </c>
      <c r="N8" s="46">
        <f>+N6-N7</f>
        <v>-6000</v>
      </c>
      <c r="O8" s="46">
        <f t="shared" ref="O8" si="13">+O6-O7</f>
        <v>2000</v>
      </c>
      <c r="P8" s="46">
        <f t="shared" ref="P8" si="14">+P6-P7</f>
        <v>6000</v>
      </c>
      <c r="R8" s="3">
        <f>+S8-2000</f>
        <v>0</v>
      </c>
      <c r="S8" s="46">
        <f t="shared" ref="S8:U8" si="15">+S6-S7</f>
        <v>2000</v>
      </c>
      <c r="T8" s="46">
        <f t="shared" si="15"/>
        <v>50000</v>
      </c>
      <c r="U8" s="46">
        <f t="shared" si="15"/>
        <v>50000</v>
      </c>
      <c r="V8" s="27">
        <f>+(T8-B8)/B8</f>
        <v>4</v>
      </c>
    </row>
    <row r="9" spans="1:22" ht="23" thickBot="1" x14ac:dyDescent="0.5">
      <c r="A9" s="44"/>
      <c r="B9" s="44"/>
      <c r="C9" s="44"/>
      <c r="D9" s="44"/>
      <c r="G9" s="44"/>
      <c r="H9" s="44"/>
      <c r="I9" s="44"/>
      <c r="J9" s="44"/>
      <c r="M9" s="44"/>
      <c r="N9" s="44"/>
      <c r="O9" s="44"/>
      <c r="P9" s="44"/>
      <c r="R9" s="27">
        <f>+R8/2000</f>
        <v>0</v>
      </c>
      <c r="S9" s="44"/>
      <c r="T9" s="44"/>
      <c r="U9" s="44"/>
    </row>
    <row r="10" spans="1:22" ht="26.5" thickBot="1" x14ac:dyDescent="0.65">
      <c r="A10" s="49" t="s">
        <v>35</v>
      </c>
      <c r="B10" s="50"/>
      <c r="C10" s="50"/>
      <c r="D10" s="50"/>
      <c r="G10" s="49" t="s">
        <v>35</v>
      </c>
      <c r="H10" s="50"/>
      <c r="I10" s="50"/>
      <c r="J10" s="50"/>
      <c r="M10" s="49" t="s">
        <v>35</v>
      </c>
      <c r="N10" s="50"/>
      <c r="O10" s="50"/>
      <c r="P10" s="50"/>
      <c r="S10" s="50"/>
      <c r="T10" s="50"/>
      <c r="U10" s="50"/>
    </row>
    <row r="11" spans="1:22" ht="26.5" thickBot="1" x14ac:dyDescent="0.65">
      <c r="A11" s="47" t="s">
        <v>36</v>
      </c>
      <c r="B11" s="48">
        <v>30000</v>
      </c>
      <c r="C11" s="48">
        <v>50000</v>
      </c>
      <c r="D11" s="48">
        <v>60000</v>
      </c>
      <c r="G11" s="47" t="s">
        <v>36</v>
      </c>
      <c r="H11" s="48">
        <v>30000</v>
      </c>
      <c r="I11" s="48">
        <v>50000</v>
      </c>
      <c r="J11" s="48">
        <v>60000</v>
      </c>
      <c r="M11" s="47" t="s">
        <v>36</v>
      </c>
      <c r="N11" s="48">
        <v>30000</v>
      </c>
      <c r="O11" s="48">
        <v>50000</v>
      </c>
      <c r="P11" s="48">
        <v>60000</v>
      </c>
      <c r="S11" s="48">
        <v>30000</v>
      </c>
      <c r="T11" s="48">
        <v>30000</v>
      </c>
      <c r="U11" s="48">
        <v>30000</v>
      </c>
    </row>
    <row r="12" spans="1:22" ht="26.5" thickBot="1" x14ac:dyDescent="0.65">
      <c r="A12" s="45" t="s">
        <v>19</v>
      </c>
      <c r="B12" s="46">
        <v>170000</v>
      </c>
      <c r="C12" s="46">
        <v>150000</v>
      </c>
      <c r="D12" s="46">
        <v>140000</v>
      </c>
      <c r="G12" s="45" t="s">
        <v>19</v>
      </c>
      <c r="H12" s="46">
        <v>170000</v>
      </c>
      <c r="I12" s="46">
        <v>150000</v>
      </c>
      <c r="J12" s="46">
        <v>140000</v>
      </c>
      <c r="M12" s="45" t="s">
        <v>19</v>
      </c>
      <c r="N12" s="46">
        <v>170000</v>
      </c>
      <c r="O12" s="46">
        <v>150000</v>
      </c>
      <c r="P12" s="46">
        <v>140000</v>
      </c>
      <c r="S12" s="46">
        <v>170000</v>
      </c>
      <c r="T12" s="46">
        <v>170000</v>
      </c>
      <c r="U12" s="46">
        <v>170000</v>
      </c>
    </row>
    <row r="13" spans="1:22" ht="26.5" thickBot="1" x14ac:dyDescent="0.65">
      <c r="A13" s="47" t="s">
        <v>37</v>
      </c>
      <c r="B13" s="48">
        <v>200000</v>
      </c>
      <c r="C13" s="48">
        <v>200000</v>
      </c>
      <c r="D13" s="48">
        <v>200000</v>
      </c>
      <c r="G13" s="47" t="s">
        <v>37</v>
      </c>
      <c r="H13" s="48">
        <v>200000</v>
      </c>
      <c r="I13" s="48">
        <v>200000</v>
      </c>
      <c r="J13" s="48">
        <v>200000</v>
      </c>
      <c r="M13" s="47" t="s">
        <v>37</v>
      </c>
      <c r="N13" s="48">
        <v>200000</v>
      </c>
      <c r="O13" s="48">
        <v>200000</v>
      </c>
      <c r="P13" s="48">
        <v>200000</v>
      </c>
      <c r="S13" s="48">
        <v>200000</v>
      </c>
      <c r="T13" s="48">
        <v>200000</v>
      </c>
      <c r="U13" s="48">
        <v>200000</v>
      </c>
    </row>
    <row r="14" spans="1:22" ht="26.5" thickBot="1" x14ac:dyDescent="0.65">
      <c r="A14" s="45" t="s">
        <v>38</v>
      </c>
      <c r="B14" s="45">
        <v>170</v>
      </c>
      <c r="C14" s="45">
        <v>150</v>
      </c>
      <c r="D14" s="45">
        <v>140</v>
      </c>
      <c r="G14" s="45" t="s">
        <v>38</v>
      </c>
      <c r="H14" s="45">
        <v>170</v>
      </c>
      <c r="I14" s="45">
        <v>150</v>
      </c>
      <c r="J14" s="45">
        <v>140</v>
      </c>
      <c r="M14" s="45" t="s">
        <v>38</v>
      </c>
      <c r="N14" s="45">
        <v>170</v>
      </c>
      <c r="O14" s="45">
        <v>150</v>
      </c>
      <c r="P14" s="45">
        <v>140</v>
      </c>
      <c r="S14" s="45">
        <v>170</v>
      </c>
      <c r="T14" s="45">
        <v>170</v>
      </c>
      <c r="U14" s="45">
        <v>170</v>
      </c>
    </row>
    <row r="16" spans="1:22" ht="15" thickBot="1" x14ac:dyDescent="0.4"/>
    <row r="17" spans="1:21" ht="26.5" thickBot="1" x14ac:dyDescent="0.65">
      <c r="A17" s="51" t="s">
        <v>39</v>
      </c>
      <c r="B17" s="30"/>
      <c r="C17" s="30"/>
      <c r="D17" s="30"/>
      <c r="G17" s="59" t="s">
        <v>39</v>
      </c>
      <c r="H17" s="37"/>
      <c r="I17" s="37"/>
      <c r="J17" s="37"/>
      <c r="M17" s="59" t="s">
        <v>39</v>
      </c>
      <c r="N17" s="37"/>
      <c r="O17" s="37"/>
      <c r="P17" s="37"/>
      <c r="S17" s="37"/>
      <c r="T17" s="37"/>
      <c r="U17" s="37"/>
    </row>
    <row r="18" spans="1:21" ht="27" thickTop="1" thickBot="1" x14ac:dyDescent="0.65">
      <c r="A18" s="52" t="s">
        <v>34</v>
      </c>
      <c r="B18" s="53">
        <f>+B8</f>
        <v>10000</v>
      </c>
      <c r="C18" s="53">
        <f t="shared" ref="C18:D18" si="16">+C8</f>
        <v>10000</v>
      </c>
      <c r="D18" s="53">
        <f t="shared" si="16"/>
        <v>10000</v>
      </c>
      <c r="G18" s="60" t="s">
        <v>34</v>
      </c>
      <c r="H18" s="61">
        <f>+H8</f>
        <v>35600</v>
      </c>
      <c r="I18" s="61">
        <f t="shared" ref="I18:J18" si="17">+I8</f>
        <v>22800</v>
      </c>
      <c r="J18" s="61">
        <f t="shared" si="17"/>
        <v>16400</v>
      </c>
      <c r="M18" s="60" t="s">
        <v>34</v>
      </c>
      <c r="N18" s="61">
        <f>+N8</f>
        <v>-6000</v>
      </c>
      <c r="O18" s="61">
        <f t="shared" ref="O18:P18" si="18">+O8</f>
        <v>2000</v>
      </c>
      <c r="P18" s="61">
        <f t="shared" si="18"/>
        <v>6000</v>
      </c>
      <c r="S18" s="61">
        <f t="shared" ref="S18:U18" si="19">+S8</f>
        <v>2000</v>
      </c>
      <c r="T18" s="61">
        <f t="shared" si="19"/>
        <v>50000</v>
      </c>
      <c r="U18" s="61">
        <f t="shared" si="19"/>
        <v>50000</v>
      </c>
    </row>
    <row r="19" spans="1:21" ht="26.5" thickBot="1" x14ac:dyDescent="0.65">
      <c r="A19" s="34" t="s">
        <v>40</v>
      </c>
      <c r="B19" s="55">
        <f>12%*B11</f>
        <v>3600</v>
      </c>
      <c r="C19" s="55">
        <f t="shared" ref="C19:D19" si="20">12%*C11</f>
        <v>6000</v>
      </c>
      <c r="D19" s="55">
        <f t="shared" si="20"/>
        <v>7200</v>
      </c>
      <c r="G19" s="47" t="s">
        <v>40</v>
      </c>
      <c r="H19" s="62">
        <f>12%*H11</f>
        <v>3600</v>
      </c>
      <c r="I19" s="62">
        <f t="shared" ref="I19:J19" si="21">12%*I11</f>
        <v>6000</v>
      </c>
      <c r="J19" s="62">
        <f t="shared" si="21"/>
        <v>7200</v>
      </c>
      <c r="M19" s="47" t="s">
        <v>40</v>
      </c>
      <c r="N19" s="62">
        <f>12%*N11</f>
        <v>3600</v>
      </c>
      <c r="O19" s="62">
        <f t="shared" ref="O19:P19" si="22">12%*O11</f>
        <v>6000</v>
      </c>
      <c r="P19" s="62">
        <f t="shared" si="22"/>
        <v>7200</v>
      </c>
      <c r="S19" s="62">
        <f t="shared" ref="S19:U19" si="23">12%*S11</f>
        <v>3600</v>
      </c>
      <c r="T19" s="62">
        <f t="shared" si="23"/>
        <v>3600</v>
      </c>
      <c r="U19" s="62">
        <f t="shared" si="23"/>
        <v>3600</v>
      </c>
    </row>
    <row r="20" spans="1:21" ht="52.5" thickBot="1" x14ac:dyDescent="0.65">
      <c r="A20" s="33" t="s">
        <v>41</v>
      </c>
      <c r="B20" s="56">
        <f>+B18-B19</f>
        <v>6400</v>
      </c>
      <c r="C20" s="56">
        <f t="shared" ref="C20:D20" si="24">+C18-C19</f>
        <v>4000</v>
      </c>
      <c r="D20" s="56">
        <f t="shared" si="24"/>
        <v>2800</v>
      </c>
      <c r="G20" s="45" t="s">
        <v>41</v>
      </c>
      <c r="H20" s="63">
        <f>+H18-H19</f>
        <v>32000</v>
      </c>
      <c r="I20" s="63">
        <f t="shared" ref="I20" si="25">+I18-I19</f>
        <v>16800</v>
      </c>
      <c r="J20" s="63">
        <f t="shared" ref="J20" si="26">+J18-J19</f>
        <v>9200</v>
      </c>
      <c r="M20" s="45" t="s">
        <v>41</v>
      </c>
      <c r="N20" s="63">
        <f>+N18-N19</f>
        <v>-9600</v>
      </c>
      <c r="O20" s="63">
        <f t="shared" ref="O20" si="27">+O18-O19</f>
        <v>-4000</v>
      </c>
      <c r="P20" s="63">
        <f t="shared" ref="P20" si="28">+P18-P19</f>
        <v>-1200</v>
      </c>
      <c r="R20" s="24">
        <f>+R21/B22</f>
        <v>-1.25</v>
      </c>
      <c r="S20" s="63">
        <f t="shared" ref="S20:U20" si="29">+S18-S19</f>
        <v>-1600</v>
      </c>
      <c r="T20" s="63">
        <f t="shared" si="29"/>
        <v>46400</v>
      </c>
      <c r="U20" s="63">
        <f t="shared" si="29"/>
        <v>46400</v>
      </c>
    </row>
    <row r="21" spans="1:21" ht="26.5" thickBot="1" x14ac:dyDescent="0.65">
      <c r="A21" s="34" t="s">
        <v>42</v>
      </c>
      <c r="B21" s="55">
        <f>+B20*35%</f>
        <v>2240</v>
      </c>
      <c r="C21" s="55">
        <f t="shared" ref="C21:D21" si="30">+C20*35%</f>
        <v>1400</v>
      </c>
      <c r="D21" s="55">
        <f t="shared" si="30"/>
        <v>979.99999999999989</v>
      </c>
      <c r="G21" s="47" t="s">
        <v>42</v>
      </c>
      <c r="H21" s="62">
        <f>+H20*35%</f>
        <v>11200</v>
      </c>
      <c r="I21" s="62">
        <f t="shared" ref="I21" si="31">+I20*35%</f>
        <v>5880</v>
      </c>
      <c r="J21" s="62">
        <f t="shared" ref="J21" si="32">+J20*35%</f>
        <v>3220</v>
      </c>
      <c r="M21" s="47" t="s">
        <v>42</v>
      </c>
      <c r="N21" s="62">
        <f>+N20*35%</f>
        <v>-3360</v>
      </c>
      <c r="O21" s="62">
        <f t="shared" ref="O21" si="33">+O20*35%</f>
        <v>-1400</v>
      </c>
      <c r="P21" s="62">
        <f t="shared" ref="P21" si="34">+P20*35%</f>
        <v>-420</v>
      </c>
      <c r="R21" s="5">
        <f>+S22-B22</f>
        <v>-5200</v>
      </c>
      <c r="S21" s="62">
        <f t="shared" ref="S21:U21" si="35">+S20*35%</f>
        <v>-560</v>
      </c>
      <c r="T21" s="62">
        <f t="shared" si="35"/>
        <v>16239.999999999998</v>
      </c>
      <c r="U21" s="62">
        <f t="shared" si="35"/>
        <v>16239.999999999998</v>
      </c>
    </row>
    <row r="22" spans="1:21" ht="26.5" thickBot="1" x14ac:dyDescent="0.65">
      <c r="A22" s="33" t="s">
        <v>6</v>
      </c>
      <c r="B22" s="56">
        <f>+B20-B21</f>
        <v>4160</v>
      </c>
      <c r="C22" s="56">
        <f t="shared" ref="C22:D22" si="36">+C20-C21</f>
        <v>2600</v>
      </c>
      <c r="D22" s="56">
        <f t="shared" si="36"/>
        <v>1820</v>
      </c>
      <c r="G22" s="45" t="s">
        <v>6</v>
      </c>
      <c r="H22" s="63">
        <f>+H20-H21</f>
        <v>20800</v>
      </c>
      <c r="I22" s="63">
        <f t="shared" ref="I22" si="37">+I20-I21</f>
        <v>10920</v>
      </c>
      <c r="J22" s="63">
        <f t="shared" ref="J22" si="38">+J20-J21</f>
        <v>5980</v>
      </c>
      <c r="M22" s="45" t="s">
        <v>6</v>
      </c>
      <c r="N22" s="63">
        <f>+N20-N21</f>
        <v>-6240</v>
      </c>
      <c r="O22" s="63">
        <f t="shared" ref="O22" si="39">+O20-O21</f>
        <v>-2600</v>
      </c>
      <c r="P22" s="63">
        <f t="shared" ref="P22" si="40">+P20-P21</f>
        <v>-780</v>
      </c>
      <c r="R22" s="27">
        <f>+(B22-S22)/B22</f>
        <v>1.25</v>
      </c>
      <c r="S22" s="63">
        <f t="shared" ref="S22:U22" si="41">+S20-S21</f>
        <v>-1040</v>
      </c>
      <c r="T22" s="63">
        <f t="shared" si="41"/>
        <v>30160</v>
      </c>
      <c r="U22" s="63">
        <f t="shared" si="41"/>
        <v>30160</v>
      </c>
    </row>
    <row r="23" spans="1:21" ht="26.5" thickBot="1" x14ac:dyDescent="0.65">
      <c r="A23" s="34" t="s">
        <v>39</v>
      </c>
      <c r="B23" s="54">
        <f>+B22/B14</f>
        <v>24.470588235294116</v>
      </c>
      <c r="C23" s="54">
        <f t="shared" ref="C23:D23" si="42">+C22/C14</f>
        <v>17.333333333333332</v>
      </c>
      <c r="D23" s="54">
        <f t="shared" si="42"/>
        <v>13</v>
      </c>
      <c r="G23" s="47" t="s">
        <v>39</v>
      </c>
      <c r="H23" s="64">
        <f>+H22/H14</f>
        <v>122.35294117647059</v>
      </c>
      <c r="I23" s="64">
        <f t="shared" ref="I23" si="43">+I22/I14</f>
        <v>72.8</v>
      </c>
      <c r="J23" s="64">
        <f t="shared" ref="J23" si="44">+J22/J14</f>
        <v>42.714285714285715</v>
      </c>
      <c r="M23" s="47" t="s">
        <v>39</v>
      </c>
      <c r="N23" s="64">
        <f>+N22/N14</f>
        <v>-36.705882352941174</v>
      </c>
      <c r="O23" s="64">
        <f t="shared" ref="O23" si="45">+O22/O14</f>
        <v>-17.333333333333332</v>
      </c>
      <c r="P23" s="64">
        <f t="shared" ref="P23" si="46">+P22/P14</f>
        <v>-5.5714285714285712</v>
      </c>
      <c r="R23">
        <f>+B28*10</f>
        <v>125</v>
      </c>
      <c r="S23" s="64">
        <f t="shared" ref="S23:U23" si="47">+S22/S14</f>
        <v>-6.117647058823529</v>
      </c>
      <c r="T23" s="64">
        <f t="shared" si="47"/>
        <v>177.41176470588235</v>
      </c>
      <c r="U23" s="64">
        <f t="shared" si="47"/>
        <v>177.41176470588235</v>
      </c>
    </row>
    <row r="24" spans="1:21" ht="23" thickBot="1" x14ac:dyDescent="0.5">
      <c r="A24" s="36"/>
      <c r="B24" s="36"/>
      <c r="C24" s="36"/>
      <c r="D24" s="36"/>
      <c r="G24" s="50"/>
      <c r="H24" s="50"/>
      <c r="I24" s="50"/>
      <c r="J24" s="50"/>
      <c r="M24" s="50"/>
      <c r="N24" s="50"/>
      <c r="O24" s="50"/>
      <c r="P24" s="50"/>
      <c r="S24" s="50"/>
      <c r="T24" s="50"/>
      <c r="U24" s="50"/>
    </row>
    <row r="25" spans="1:21" ht="26.5" thickBot="1" x14ac:dyDescent="0.65">
      <c r="A25" s="31" t="s">
        <v>43</v>
      </c>
      <c r="B25" s="32"/>
      <c r="C25" s="32"/>
      <c r="D25" s="32"/>
      <c r="G25" s="43" t="s">
        <v>43</v>
      </c>
      <c r="H25" s="44"/>
      <c r="I25" s="44"/>
      <c r="J25" s="44"/>
      <c r="M25" s="43" t="s">
        <v>43</v>
      </c>
      <c r="N25" s="44"/>
      <c r="O25" s="44"/>
      <c r="P25" s="44"/>
      <c r="S25" s="44"/>
      <c r="T25" s="44"/>
      <c r="U25" s="44"/>
    </row>
    <row r="26" spans="1:21" ht="26.5" thickBot="1" x14ac:dyDescent="0.65">
      <c r="A26" s="33" t="s">
        <v>44</v>
      </c>
      <c r="B26" s="36">
        <f>+B6/B8</f>
        <v>8</v>
      </c>
      <c r="C26" s="36">
        <f t="shared" ref="C26:D26" si="48">+C6/C8</f>
        <v>4</v>
      </c>
      <c r="D26" s="36">
        <f t="shared" si="48"/>
        <v>2</v>
      </c>
      <c r="G26" s="45" t="s">
        <v>44</v>
      </c>
      <c r="H26" s="67">
        <f>+H6/H8</f>
        <v>2.9662921348314608</v>
      </c>
      <c r="I26" s="67">
        <f t="shared" ref="I26:J26" si="49">+I6/I8</f>
        <v>2.3157894736842106</v>
      </c>
      <c r="J26" s="67">
        <f t="shared" si="49"/>
        <v>1.6097560975609757</v>
      </c>
      <c r="M26" s="45" t="s">
        <v>44</v>
      </c>
      <c r="N26" s="50">
        <f>+N6/N8</f>
        <v>-10.666666666666666</v>
      </c>
      <c r="O26" s="50">
        <f t="shared" ref="O26:P26" si="50">+O6/O8</f>
        <v>16</v>
      </c>
      <c r="P26" s="50">
        <f t="shared" si="50"/>
        <v>2.6666666666666665</v>
      </c>
      <c r="S26" s="50">
        <f t="shared" ref="S26:U26" si="51">+S6/S8</f>
        <v>36</v>
      </c>
      <c r="T26" s="50">
        <f t="shared" si="51"/>
        <v>2.4</v>
      </c>
      <c r="U26" s="50">
        <f t="shared" si="51"/>
        <v>2.4</v>
      </c>
    </row>
    <row r="27" spans="1:21" ht="26.5" thickBot="1" x14ac:dyDescent="0.65">
      <c r="A27" s="34" t="s">
        <v>45</v>
      </c>
      <c r="B27" s="57">
        <f>+B18/B20</f>
        <v>1.5625</v>
      </c>
      <c r="C27" s="57">
        <f>+C18/C20</f>
        <v>2.5</v>
      </c>
      <c r="D27" s="57">
        <f t="shared" ref="C27:D27" si="52">+D18/D20</f>
        <v>3.5714285714285716</v>
      </c>
      <c r="G27" s="47" t="s">
        <v>45</v>
      </c>
      <c r="H27" s="65">
        <f>+H18/H20</f>
        <v>1.1125</v>
      </c>
      <c r="I27" s="65">
        <f>+I18/I20</f>
        <v>1.3571428571428572</v>
      </c>
      <c r="J27" s="65">
        <f t="shared" ref="J27" si="53">+J18/J20</f>
        <v>1.7826086956521738</v>
      </c>
      <c r="M27" s="47" t="s">
        <v>45</v>
      </c>
      <c r="N27" s="65">
        <f>+N18/N20</f>
        <v>0.625</v>
      </c>
      <c r="O27" s="65">
        <f>+O18/O20</f>
        <v>-0.5</v>
      </c>
      <c r="P27" s="65">
        <f t="shared" ref="P27" si="54">+P18/P20</f>
        <v>-5</v>
      </c>
      <c r="S27" s="65">
        <f t="shared" ref="S27:U27" si="55">+S18/S20</f>
        <v>-1.25</v>
      </c>
      <c r="T27" s="65">
        <f t="shared" si="55"/>
        <v>1.0775862068965518</v>
      </c>
      <c r="U27" s="65">
        <f t="shared" si="55"/>
        <v>1.0775862068965518</v>
      </c>
    </row>
    <row r="28" spans="1:21" ht="26.5" thickBot="1" x14ac:dyDescent="0.65">
      <c r="A28" s="33" t="s">
        <v>46</v>
      </c>
      <c r="B28" s="58">
        <f>+B26*B27</f>
        <v>12.5</v>
      </c>
      <c r="C28" s="58">
        <f t="shared" ref="C28:D28" si="56">+C26*C27</f>
        <v>10</v>
      </c>
      <c r="D28" s="58">
        <f t="shared" si="56"/>
        <v>7.1428571428571432</v>
      </c>
      <c r="G28" s="45" t="s">
        <v>46</v>
      </c>
      <c r="H28" s="66">
        <f>+H26*H27</f>
        <v>3.3000000000000003</v>
      </c>
      <c r="I28" s="66">
        <f t="shared" ref="I28" si="57">+I26*I27</f>
        <v>3.1428571428571432</v>
      </c>
      <c r="J28" s="66">
        <f t="shared" ref="J28" si="58">+J26*J27</f>
        <v>2.8695652173913042</v>
      </c>
      <c r="M28" s="45" t="s">
        <v>46</v>
      </c>
      <c r="N28" s="66">
        <f>+N26*N27</f>
        <v>-6.6666666666666661</v>
      </c>
      <c r="O28" s="66">
        <f t="shared" ref="O28" si="59">+O26*O27</f>
        <v>-8</v>
      </c>
      <c r="P28" s="66">
        <f t="shared" ref="P28" si="60">+P26*P27</f>
        <v>-13.333333333333332</v>
      </c>
      <c r="S28" s="66">
        <f t="shared" ref="S28:U28" si="61">+S26*S27</f>
        <v>-45</v>
      </c>
      <c r="T28" s="66">
        <f t="shared" si="61"/>
        <v>2.5862068965517242</v>
      </c>
      <c r="U28" s="66">
        <f t="shared" si="61"/>
        <v>2.5862068965517242</v>
      </c>
    </row>
    <row r="29" spans="1:21" ht="23" thickBot="1" x14ac:dyDescent="0.5">
      <c r="A29" s="32"/>
      <c r="B29" s="32"/>
      <c r="C29" s="32"/>
      <c r="D29" s="32"/>
      <c r="G29" s="44"/>
      <c r="H29" s="44"/>
      <c r="I29" s="44"/>
      <c r="J29" s="44"/>
      <c r="M29" s="44"/>
      <c r="N29" s="44"/>
      <c r="O29" s="44"/>
      <c r="P29" s="44"/>
      <c r="S29" s="44"/>
      <c r="T29" s="44"/>
      <c r="U29" s="44"/>
    </row>
    <row r="30" spans="1:21" ht="26.5" thickBot="1" x14ac:dyDescent="0.65">
      <c r="A30" s="35" t="s">
        <v>47</v>
      </c>
      <c r="B30" s="36"/>
      <c r="C30" s="36"/>
      <c r="D30" s="36"/>
      <c r="G30" s="49" t="s">
        <v>47</v>
      </c>
      <c r="H30" s="50"/>
      <c r="I30" s="50"/>
      <c r="J30" s="50"/>
      <c r="M30" s="49" t="s">
        <v>47</v>
      </c>
      <c r="N30" s="50"/>
      <c r="O30" s="50"/>
      <c r="P30" s="50"/>
      <c r="S30" s="50"/>
      <c r="T30" s="50"/>
      <c r="U30" s="50"/>
    </row>
    <row r="31" spans="1:21" ht="26.5" thickBot="1" x14ac:dyDescent="0.65">
      <c r="A31" s="34" t="s">
        <v>48</v>
      </c>
      <c r="B31" s="55">
        <f>+B7/B6*B4</f>
        <v>87500</v>
      </c>
      <c r="C31" s="55">
        <f t="shared" ref="C31:D31" si="62">+C7/C6*C4</f>
        <v>75000</v>
      </c>
      <c r="D31" s="55">
        <f t="shared" si="62"/>
        <v>50000</v>
      </c>
      <c r="G31" s="47" t="s">
        <v>48</v>
      </c>
      <c r="H31" s="62">
        <f>+H7/H6*H4</f>
        <v>87500</v>
      </c>
      <c r="I31" s="62">
        <f t="shared" ref="I31:J31" si="63">+I7/I6*I4</f>
        <v>75000</v>
      </c>
      <c r="J31" s="62">
        <f t="shared" si="63"/>
        <v>50000</v>
      </c>
      <c r="M31" s="47" t="s">
        <v>48</v>
      </c>
      <c r="N31" s="62">
        <f>+N7/N6*N4</f>
        <v>87500</v>
      </c>
      <c r="O31" s="62">
        <f t="shared" ref="O31:P31" si="64">+O7/O6*O4</f>
        <v>75000</v>
      </c>
      <c r="P31" s="62">
        <f t="shared" si="64"/>
        <v>50000</v>
      </c>
      <c r="S31" s="62">
        <f t="shared" ref="S31:U31" si="65">+S7/S6*S4</f>
        <v>87500</v>
      </c>
      <c r="T31" s="62">
        <f t="shared" si="65"/>
        <v>87500</v>
      </c>
      <c r="U31" s="62">
        <f t="shared" si="65"/>
        <v>87500</v>
      </c>
    </row>
    <row r="32" spans="1:21" ht="26.5" thickBot="1" x14ac:dyDescent="0.65">
      <c r="A32" s="33" t="s">
        <v>49</v>
      </c>
      <c r="B32" s="56">
        <f>(B7+B19)/B6*B4</f>
        <v>92000</v>
      </c>
      <c r="C32" s="56">
        <f t="shared" ref="C32:D32" si="66">(C7+C19)/C6*C4</f>
        <v>90000</v>
      </c>
      <c r="D32" s="56">
        <f t="shared" si="66"/>
        <v>86000</v>
      </c>
      <c r="G32" s="45" t="s">
        <v>49</v>
      </c>
      <c r="H32" s="63">
        <f>(H7+H19)/H6*H4</f>
        <v>92000</v>
      </c>
      <c r="I32" s="63">
        <f t="shared" ref="I32:J32" si="67">(I7+I19)/I6*I4</f>
        <v>90000</v>
      </c>
      <c r="J32" s="63">
        <f t="shared" si="67"/>
        <v>86000</v>
      </c>
      <c r="M32" s="45" t="s">
        <v>49</v>
      </c>
      <c r="N32" s="63">
        <f>(N7+N19)/N6*N4</f>
        <v>92000</v>
      </c>
      <c r="O32" s="63">
        <f t="shared" ref="O32:P32" si="68">(O7+O19)/O6*O4</f>
        <v>90000</v>
      </c>
      <c r="P32" s="63">
        <f t="shared" si="68"/>
        <v>86000</v>
      </c>
      <c r="S32" s="63">
        <f t="shared" ref="S32:U32" si="69">(S7+S19)/S6*S4</f>
        <v>92000</v>
      </c>
      <c r="T32" s="63">
        <f t="shared" si="69"/>
        <v>92000</v>
      </c>
      <c r="U32" s="63">
        <f t="shared" si="69"/>
        <v>92000</v>
      </c>
    </row>
  </sheetData>
  <mergeCells count="3">
    <mergeCell ref="B1:D1"/>
    <mergeCell ref="H1:J1"/>
    <mergeCell ref="N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Gamboa</dc:creator>
  <cp:lastModifiedBy>Fernando Gamboa</cp:lastModifiedBy>
  <dcterms:created xsi:type="dcterms:W3CDTF">2025-06-20T01:14:09Z</dcterms:created>
  <dcterms:modified xsi:type="dcterms:W3CDTF">2025-06-20T05:00:39Z</dcterms:modified>
</cp:coreProperties>
</file>