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CHIVOS DESKTOP\PUCE\MAESTRIAS VIRTUALES\MAESTRIA FINANZAS\2022 - SEPTIEMBRE - INICIO MAESTRÍA\6. SÍLABOS\MODULOS FINANZAS CORPORATIVAS\3. TERCERA ENTREGA\MÓDULO 8\2. REVISADO Y ENVIADO A CEV\"/>
    </mc:Choice>
  </mc:AlternateContent>
  <bookViews>
    <workbookView xWindow="0" yWindow="0" windowWidth="19200" windowHeight="11460"/>
  </bookViews>
  <sheets>
    <sheet name="Introduccion" sheetId="5" r:id="rId1"/>
    <sheet name="Modelo" sheetId="3" r:id="rId2"/>
    <sheet name="Modelo Gestió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  <c r="F85" i="6" s="1"/>
  <c r="G19" i="6"/>
  <c r="G85" i="6" s="1"/>
  <c r="H19" i="6"/>
  <c r="H85" i="6" s="1"/>
  <c r="I19" i="6"/>
  <c r="E19" i="6"/>
  <c r="E85" i="6" s="1"/>
  <c r="E111" i="6"/>
  <c r="I98" i="6"/>
  <c r="J98" i="6" s="1"/>
  <c r="H98" i="6"/>
  <c r="G98" i="6"/>
  <c r="M97" i="6"/>
  <c r="K97" i="6"/>
  <c r="J97" i="6"/>
  <c r="I97" i="6"/>
  <c r="G97" i="6"/>
  <c r="H97" i="6" s="1"/>
  <c r="E97" i="6"/>
  <c r="F97" i="6" s="1"/>
  <c r="M96" i="6"/>
  <c r="M98" i="6" s="1"/>
  <c r="N98" i="6" s="1"/>
  <c r="K96" i="6"/>
  <c r="K98" i="6" s="1"/>
  <c r="I96" i="6"/>
  <c r="J96" i="6" s="1"/>
  <c r="G96" i="6"/>
  <c r="H96" i="6" s="1"/>
  <c r="E96" i="6"/>
  <c r="E98" i="6" s="1"/>
  <c r="F98" i="6" s="1"/>
  <c r="I85" i="6"/>
  <c r="I75" i="6"/>
  <c r="G74" i="6"/>
  <c r="F74" i="6"/>
  <c r="E74" i="6"/>
  <c r="I62" i="6"/>
  <c r="H62" i="6"/>
  <c r="G62" i="6"/>
  <c r="F62" i="6"/>
  <c r="E62" i="6"/>
  <c r="D41" i="6"/>
  <c r="D35" i="6"/>
  <c r="D72" i="6" s="1"/>
  <c r="D76" i="6" s="1"/>
  <c r="E32" i="6"/>
  <c r="M18" i="6"/>
  <c r="D97" i="6" s="1"/>
  <c r="I17" i="6"/>
  <c r="I74" i="6" s="1"/>
  <c r="H17" i="6"/>
  <c r="H74" i="6" s="1"/>
  <c r="G17" i="6"/>
  <c r="F17" i="6"/>
  <c r="E17" i="6"/>
  <c r="F16" i="6"/>
  <c r="G16" i="6" s="1"/>
  <c r="H16" i="6" s="1"/>
  <c r="I16" i="6" s="1"/>
  <c r="E14" i="6"/>
  <c r="E37" i="6" s="1"/>
  <c r="F13" i="6"/>
  <c r="F32" i="6" s="1"/>
  <c r="A6" i="6"/>
  <c r="A4" i="6"/>
  <c r="A2" i="6"/>
  <c r="A1" i="6"/>
  <c r="E37" i="3"/>
  <c r="E41" i="3" s="1"/>
  <c r="E33" i="3"/>
  <c r="E32" i="3"/>
  <c r="G97" i="3"/>
  <c r="E97" i="3"/>
  <c r="M96" i="3"/>
  <c r="I96" i="3"/>
  <c r="G96" i="3"/>
  <c r="E96" i="3"/>
  <c r="F85" i="3"/>
  <c r="G85" i="3"/>
  <c r="H85" i="3"/>
  <c r="I85" i="3"/>
  <c r="E85" i="3"/>
  <c r="I75" i="3"/>
  <c r="E111" i="3" s="1"/>
  <c r="F62" i="3"/>
  <c r="G62" i="3"/>
  <c r="I62" i="3"/>
  <c r="E62" i="3"/>
  <c r="D41" i="3"/>
  <c r="D35" i="3"/>
  <c r="D72" i="3" s="1"/>
  <c r="D76" i="3" s="1"/>
  <c r="F17" i="3"/>
  <c r="F74" i="3" s="1"/>
  <c r="G17" i="3"/>
  <c r="G74" i="3" s="1"/>
  <c r="H17" i="3"/>
  <c r="H74" i="3" s="1"/>
  <c r="I17" i="3"/>
  <c r="I74" i="3" s="1"/>
  <c r="E17" i="3"/>
  <c r="E74" i="3" s="1"/>
  <c r="F16" i="3"/>
  <c r="G16" i="3" s="1"/>
  <c r="H16" i="3" s="1"/>
  <c r="I16" i="3" s="1"/>
  <c r="E14" i="3"/>
  <c r="E15" i="3" s="1"/>
  <c r="F13" i="3"/>
  <c r="G13" i="3" s="1"/>
  <c r="G32" i="3" s="1"/>
  <c r="M18" i="3"/>
  <c r="A4" i="3"/>
  <c r="A2" i="3"/>
  <c r="A1" i="3"/>
  <c r="A6" i="3"/>
  <c r="J100" i="6" l="1"/>
  <c r="G107" i="6" s="1"/>
  <c r="E91" i="6"/>
  <c r="E41" i="6"/>
  <c r="H100" i="6"/>
  <c r="F107" i="6" s="1"/>
  <c r="L97" i="6"/>
  <c r="N97" i="6"/>
  <c r="L98" i="6"/>
  <c r="L96" i="6"/>
  <c r="L100" i="6" s="1"/>
  <c r="H107" i="6" s="1"/>
  <c r="F96" i="6"/>
  <c r="F100" i="6" s="1"/>
  <c r="E107" i="6" s="1"/>
  <c r="N96" i="6"/>
  <c r="N100" i="6" s="1"/>
  <c r="I107" i="6" s="1"/>
  <c r="G13" i="6"/>
  <c r="E15" i="6"/>
  <c r="E18" i="6" s="1"/>
  <c r="E33" i="6"/>
  <c r="E35" i="6" s="1"/>
  <c r="F14" i="6"/>
  <c r="F32" i="3"/>
  <c r="E91" i="3"/>
  <c r="E35" i="3"/>
  <c r="E90" i="3" s="1"/>
  <c r="E92" i="3" s="1"/>
  <c r="E106" i="3" s="1"/>
  <c r="E98" i="3"/>
  <c r="I97" i="3"/>
  <c r="I98" i="3" s="1"/>
  <c r="M97" i="3"/>
  <c r="M98" i="3" s="1"/>
  <c r="N96" i="3" s="1"/>
  <c r="G98" i="3"/>
  <c r="H96" i="3" s="1"/>
  <c r="H13" i="3"/>
  <c r="H32" i="3" s="1"/>
  <c r="G14" i="3"/>
  <c r="F14" i="3"/>
  <c r="E18" i="3"/>
  <c r="E73" i="3" s="1"/>
  <c r="E76" i="3" s="1"/>
  <c r="E51" i="6" l="1"/>
  <c r="E90" i="6"/>
  <c r="E92" i="6" s="1"/>
  <c r="E106" i="6" s="1"/>
  <c r="F37" i="6"/>
  <c r="F33" i="6"/>
  <c r="F35" i="6" s="1"/>
  <c r="E20" i="6"/>
  <c r="E73" i="6"/>
  <c r="E76" i="6" s="1"/>
  <c r="E50" i="6"/>
  <c r="G32" i="6"/>
  <c r="G14" i="6"/>
  <c r="G15" i="6"/>
  <c r="G18" i="6" s="1"/>
  <c r="H13" i="6"/>
  <c r="F15" i="6"/>
  <c r="F18" i="6" s="1"/>
  <c r="F15" i="3"/>
  <c r="F18" i="3" s="1"/>
  <c r="F73" i="3" s="1"/>
  <c r="F76" i="3" s="1"/>
  <c r="F37" i="3"/>
  <c r="F33" i="3"/>
  <c r="F35" i="3" s="1"/>
  <c r="G15" i="3"/>
  <c r="G18" i="3" s="1"/>
  <c r="G73" i="3" s="1"/>
  <c r="G76" i="3" s="1"/>
  <c r="G37" i="3"/>
  <c r="G33" i="3"/>
  <c r="G35" i="3" s="1"/>
  <c r="G90" i="3" s="1"/>
  <c r="E51" i="3"/>
  <c r="N97" i="3"/>
  <c r="N100" i="3" s="1"/>
  <c r="I107" i="3" s="1"/>
  <c r="F97" i="3"/>
  <c r="F96" i="3"/>
  <c r="F100" i="3" s="1"/>
  <c r="E107" i="3" s="1"/>
  <c r="F98" i="3"/>
  <c r="J98" i="3"/>
  <c r="J96" i="3"/>
  <c r="J97" i="3"/>
  <c r="N98" i="3"/>
  <c r="K97" i="3"/>
  <c r="H98" i="3"/>
  <c r="H97" i="3"/>
  <c r="H100" i="3" s="1"/>
  <c r="F107" i="3" s="1"/>
  <c r="E20" i="3"/>
  <c r="E21" i="3" s="1"/>
  <c r="E22" i="3" s="1"/>
  <c r="E50" i="3"/>
  <c r="E52" i="3" s="1"/>
  <c r="I13" i="3"/>
  <c r="I32" i="3" s="1"/>
  <c r="H14" i="3"/>
  <c r="F20" i="6" l="1"/>
  <c r="F73" i="6"/>
  <c r="F76" i="6" s="1"/>
  <c r="F50" i="6"/>
  <c r="I13" i="6"/>
  <c r="H32" i="6"/>
  <c r="H14" i="6"/>
  <c r="F51" i="6"/>
  <c r="F90" i="6"/>
  <c r="F92" i="6" s="1"/>
  <c r="F106" i="6" s="1"/>
  <c r="F41" i="6"/>
  <c r="F91" i="6"/>
  <c r="G73" i="6"/>
  <c r="G76" i="6" s="1"/>
  <c r="G50" i="6"/>
  <c r="G20" i="6"/>
  <c r="G37" i="6"/>
  <c r="G33" i="6"/>
  <c r="G35" i="6" s="1"/>
  <c r="E52" i="6"/>
  <c r="E21" i="6"/>
  <c r="E22" i="6"/>
  <c r="G51" i="3"/>
  <c r="F90" i="3"/>
  <c r="F51" i="3"/>
  <c r="F41" i="3"/>
  <c r="F91" i="3"/>
  <c r="G50" i="3"/>
  <c r="G20" i="3"/>
  <c r="G21" i="3" s="1"/>
  <c r="G22" i="3" s="1"/>
  <c r="G84" i="3" s="1"/>
  <c r="G86" i="3" s="1"/>
  <c r="G105" i="3" s="1"/>
  <c r="F50" i="3"/>
  <c r="F20" i="3"/>
  <c r="F21" i="3" s="1"/>
  <c r="F22" i="3" s="1"/>
  <c r="F61" i="3" s="1"/>
  <c r="F63" i="3" s="1"/>
  <c r="G92" i="3"/>
  <c r="G106" i="3" s="1"/>
  <c r="H15" i="3"/>
  <c r="H18" i="3" s="1"/>
  <c r="H73" i="3" s="1"/>
  <c r="H76" i="3" s="1"/>
  <c r="H33" i="3"/>
  <c r="H35" i="3" s="1"/>
  <c r="H37" i="3"/>
  <c r="G41" i="3"/>
  <c r="G91" i="3"/>
  <c r="J100" i="3"/>
  <c r="G107" i="3" s="1"/>
  <c r="K96" i="3"/>
  <c r="H62" i="3"/>
  <c r="E61" i="3"/>
  <c r="E63" i="3" s="1"/>
  <c r="E84" i="3"/>
  <c r="E86" i="3" s="1"/>
  <c r="E105" i="3" s="1"/>
  <c r="E108" i="3" s="1"/>
  <c r="I14" i="3"/>
  <c r="F52" i="6" l="1"/>
  <c r="H33" i="6"/>
  <c r="H35" i="6" s="1"/>
  <c r="H37" i="6"/>
  <c r="E84" i="6"/>
  <c r="E86" i="6" s="1"/>
  <c r="E105" i="6" s="1"/>
  <c r="E108" i="6" s="1"/>
  <c r="E61" i="6"/>
  <c r="E63" i="6" s="1"/>
  <c r="I15" i="6"/>
  <c r="I18" i="6" s="1"/>
  <c r="I32" i="6"/>
  <c r="I14" i="6"/>
  <c r="G51" i="6"/>
  <c r="G52" i="6" s="1"/>
  <c r="G90" i="6"/>
  <c r="G92" i="6" s="1"/>
  <c r="G106" i="6" s="1"/>
  <c r="F21" i="6"/>
  <c r="F22" i="6" s="1"/>
  <c r="G41" i="6"/>
  <c r="G91" i="6"/>
  <c r="G21" i="6"/>
  <c r="G22" i="6" s="1"/>
  <c r="H15" i="6"/>
  <c r="H18" i="6" s="1"/>
  <c r="G52" i="3"/>
  <c r="G61" i="3"/>
  <c r="G63" i="3" s="1"/>
  <c r="H41" i="3"/>
  <c r="H91" i="3"/>
  <c r="H90" i="3"/>
  <c r="H51" i="3"/>
  <c r="I15" i="3"/>
  <c r="I18" i="3" s="1"/>
  <c r="I73" i="3" s="1"/>
  <c r="I76" i="3" s="1"/>
  <c r="D77" i="3" s="1"/>
  <c r="D122" i="3" s="1"/>
  <c r="I33" i="3"/>
  <c r="I35" i="3" s="1"/>
  <c r="I37" i="3"/>
  <c r="H50" i="3"/>
  <c r="H52" i="3" s="1"/>
  <c r="F92" i="3"/>
  <c r="F106" i="3" s="1"/>
  <c r="H20" i="3"/>
  <c r="H21" i="3" s="1"/>
  <c r="H22" i="3" s="1"/>
  <c r="H61" i="3" s="1"/>
  <c r="H63" i="3" s="1"/>
  <c r="F84" i="3"/>
  <c r="F86" i="3" s="1"/>
  <c r="F105" i="3" s="1"/>
  <c r="F108" i="3" s="1"/>
  <c r="F52" i="3"/>
  <c r="G108" i="3"/>
  <c r="K98" i="3"/>
  <c r="L96" i="3" s="1"/>
  <c r="I20" i="3"/>
  <c r="I21" i="3" s="1"/>
  <c r="I22" i="3" s="1"/>
  <c r="I50" i="3"/>
  <c r="F84" i="6" l="1"/>
  <c r="F86" i="6" s="1"/>
  <c r="F105" i="6" s="1"/>
  <c r="F108" i="6" s="1"/>
  <c r="F61" i="6"/>
  <c r="F63" i="6" s="1"/>
  <c r="I33" i="6"/>
  <c r="I35" i="6" s="1"/>
  <c r="I37" i="6"/>
  <c r="G84" i="6"/>
  <c r="G86" i="6" s="1"/>
  <c r="G105" i="6" s="1"/>
  <c r="G108" i="6" s="1"/>
  <c r="G61" i="6"/>
  <c r="G63" i="6" s="1"/>
  <c r="H73" i="6"/>
  <c r="H76" i="6" s="1"/>
  <c r="D77" i="6" s="1"/>
  <c r="D122" i="6" s="1"/>
  <c r="H50" i="6"/>
  <c r="H20" i="6"/>
  <c r="H90" i="6"/>
  <c r="H92" i="6" s="1"/>
  <c r="H106" i="6" s="1"/>
  <c r="H51" i="6"/>
  <c r="I73" i="6"/>
  <c r="I76" i="6" s="1"/>
  <c r="I50" i="6"/>
  <c r="I20" i="6"/>
  <c r="H41" i="6"/>
  <c r="H91" i="6"/>
  <c r="I52" i="3"/>
  <c r="E53" i="3" s="1"/>
  <c r="D120" i="3" s="1"/>
  <c r="H92" i="3"/>
  <c r="H106" i="3" s="1"/>
  <c r="H84" i="3"/>
  <c r="H86" i="3" s="1"/>
  <c r="H105" i="3" s="1"/>
  <c r="I41" i="3"/>
  <c r="I91" i="3"/>
  <c r="I51" i="3"/>
  <c r="I90" i="3"/>
  <c r="L97" i="3"/>
  <c r="L100" i="3" s="1"/>
  <c r="H107" i="3" s="1"/>
  <c r="L98" i="3"/>
  <c r="I61" i="3"/>
  <c r="I63" i="3" s="1"/>
  <c r="I84" i="3"/>
  <c r="I86" i="3" s="1"/>
  <c r="I105" i="3" s="1"/>
  <c r="H52" i="6" l="1"/>
  <c r="I90" i="6"/>
  <c r="I51" i="6"/>
  <c r="I52" i="6" s="1"/>
  <c r="E53" i="6" s="1"/>
  <c r="D120" i="6" s="1"/>
  <c r="H21" i="6"/>
  <c r="H22" i="6" s="1"/>
  <c r="I21" i="6"/>
  <c r="I22" i="6" s="1"/>
  <c r="I41" i="6"/>
  <c r="I91" i="6"/>
  <c r="I92" i="3"/>
  <c r="I106" i="3" s="1"/>
  <c r="H108" i="3"/>
  <c r="I108" i="3"/>
  <c r="E109" i="3"/>
  <c r="E64" i="3"/>
  <c r="D121" i="3" s="1"/>
  <c r="H84" i="6" l="1"/>
  <c r="H86" i="6" s="1"/>
  <c r="H105" i="6" s="1"/>
  <c r="H108" i="6" s="1"/>
  <c r="H61" i="6"/>
  <c r="H63" i="6" s="1"/>
  <c r="I92" i="6"/>
  <c r="I106" i="6" s="1"/>
  <c r="I84" i="6"/>
  <c r="I86" i="6" s="1"/>
  <c r="I105" i="6" s="1"/>
  <c r="I108" i="6" s="1"/>
  <c r="I61" i="6"/>
  <c r="I63" i="6" s="1"/>
  <c r="E112" i="3"/>
  <c r="D124" i="3" s="1"/>
  <c r="D123" i="3"/>
  <c r="E64" i="6" l="1"/>
  <c r="D121" i="6" s="1"/>
  <c r="E109" i="6"/>
  <c r="D123" i="6" s="1"/>
  <c r="E112" i="6" l="1"/>
  <c r="D124" i="6" s="1"/>
</calcChain>
</file>

<file path=xl/sharedStrings.xml><?xml version="1.0" encoding="utf-8"?>
<sst xmlns="http://schemas.openxmlformats.org/spreadsheetml/2006/main" count="346" uniqueCount="93">
  <si>
    <t>Modelo</t>
  </si>
  <si>
    <t>Introducción</t>
  </si>
  <si>
    <t xml:space="preserve"> </t>
  </si>
  <si>
    <t>Uso de las Hojas de Excel</t>
  </si>
  <si>
    <t>Fecha de Actualización del Ejercicio</t>
  </si>
  <si>
    <t>Flujo de Caja</t>
  </si>
  <si>
    <t>signo negativo.</t>
  </si>
  <si>
    <t>celdas de color gris.</t>
  </si>
  <si>
    <t>Las celdas que no tienen estos colores no tienen que ser modificadas.</t>
  </si>
  <si>
    <t>En la hoja "Modelo" ingresar datos en las celdas de color amarillo. No se olvide que la inversión va con</t>
  </si>
  <si>
    <t xml:space="preserve">En la hoja "Modelo" ingresar las fórmulas para calcular las diferentes herramientas de evaluación en las </t>
  </si>
  <si>
    <t>Finanzas Corporativas</t>
  </si>
  <si>
    <t>Maestría en Finanzas</t>
  </si>
  <si>
    <t>© 2023 Mariano Merchán Fossati</t>
  </si>
  <si>
    <t>Objetivos del Taller</t>
  </si>
  <si>
    <t>Este taller tiene como objetivo comprender y/o calcular los siguientes conceptos:</t>
  </si>
  <si>
    <t>Actualizado a enero 2023</t>
  </si>
  <si>
    <t>Hotel El Pelicano - Estado de Resultados - 68 habitaciones</t>
  </si>
  <si>
    <t>Año 1</t>
  </si>
  <si>
    <t>Año 2</t>
  </si>
  <si>
    <t>Año 3</t>
  </si>
  <si>
    <t>Año 4</t>
  </si>
  <si>
    <t>Año 5</t>
  </si>
  <si>
    <t>Ventas</t>
  </si>
  <si>
    <t>Costo de Ventas</t>
  </si>
  <si>
    <t>Margen Bruto</t>
  </si>
  <si>
    <t>Gastos Generales</t>
  </si>
  <si>
    <t>Depreciación</t>
  </si>
  <si>
    <t>Utilidad Operativa</t>
  </si>
  <si>
    <t>Gastos Financieros</t>
  </si>
  <si>
    <t>Utilidad antes de Impuestos</t>
  </si>
  <si>
    <t>Impuestos</t>
  </si>
  <si>
    <t>Utilidad Neta</t>
  </si>
  <si>
    <t>Incremento Ventas</t>
  </si>
  <si>
    <t>Depreciacion</t>
  </si>
  <si>
    <t>Hotel El Pelicano -Estado de Situación Financiera - 68 habitaciones</t>
  </si>
  <si>
    <t>Año 0</t>
  </si>
  <si>
    <t>ACTIVO</t>
  </si>
  <si>
    <t>Efectivo</t>
  </si>
  <si>
    <t>Cuentas por Cobrar</t>
  </si>
  <si>
    <t>Inventarios</t>
  </si>
  <si>
    <t>Propiedad, Planta y Equipo</t>
  </si>
  <si>
    <t>Total</t>
  </si>
  <si>
    <t>PASIVO Y PATRIMONIO</t>
  </si>
  <si>
    <t>Pasivos Largo Plazo</t>
  </si>
  <si>
    <t>Capital y Reservas</t>
  </si>
  <si>
    <t>Utilidad</t>
  </si>
  <si>
    <t>Hotel El Pelicano -Cálculo del ROA - 68 habitaciones</t>
  </si>
  <si>
    <t>UAII</t>
  </si>
  <si>
    <t>Activo</t>
  </si>
  <si>
    <t>ROA</t>
  </si>
  <si>
    <t>ROA PROMEDIO</t>
  </si>
  <si>
    <t>Hotel El Pelicano -Cálculo del ROE - 68 habitaciones</t>
  </si>
  <si>
    <t>Patrimonio</t>
  </si>
  <si>
    <t>ROE</t>
  </si>
  <si>
    <t>ROE PROMEDIO</t>
  </si>
  <si>
    <t>Hotel El Pelicano -Cálculo del TIR - 68 habitaciones</t>
  </si>
  <si>
    <t>Inversión Inicial</t>
  </si>
  <si>
    <t>Valor Residual</t>
  </si>
  <si>
    <t>Cuentas por Pagar</t>
  </si>
  <si>
    <t>TIR</t>
  </si>
  <si>
    <t>Hotel El Pelicano -Cálculo del EVA - 68 habitaciones</t>
  </si>
  <si>
    <t>UAIDI</t>
  </si>
  <si>
    <t>Activo Total</t>
  </si>
  <si>
    <t>Financiamiento Espontaneo</t>
  </si>
  <si>
    <t>Valor Activo Neto</t>
  </si>
  <si>
    <t>Deuda Bancos LP</t>
  </si>
  <si>
    <t>Costo d/imp</t>
  </si>
  <si>
    <t>CCPP</t>
  </si>
  <si>
    <t>EVA</t>
  </si>
  <si>
    <t>EVA DEL PROYECTO (VP)</t>
  </si>
  <si>
    <t>VP del Valor Residual</t>
  </si>
  <si>
    <t>EVA con Valor Residual</t>
  </si>
  <si>
    <t>Indicadores</t>
  </si>
  <si>
    <t>ROA Promedio</t>
  </si>
  <si>
    <t>ROE Promedio</t>
  </si>
  <si>
    <t>TIR con valor residual</t>
  </si>
  <si>
    <t>EVA sin valor residual</t>
  </si>
  <si>
    <t>EVA con valor residual</t>
  </si>
  <si>
    <t>68 hab.</t>
  </si>
  <si>
    <t>PPCxC</t>
  </si>
  <si>
    <t>PPInv</t>
  </si>
  <si>
    <t>PPCxP</t>
  </si>
  <si>
    <t>Original</t>
  </si>
  <si>
    <t>EVA ORIGINAL</t>
  </si>
  <si>
    <t>Tema: Gestión Valor Económico Agregado (EVA)</t>
  </si>
  <si>
    <t>Impacto en el EVA de la aplicación de estrategias financieras.</t>
  </si>
  <si>
    <t>Estrategias  para desarrollar el taller</t>
  </si>
  <si>
    <t>Cambio en las Ventas</t>
  </si>
  <si>
    <t>Cambio en las políticas de crédito a clientes</t>
  </si>
  <si>
    <t>Cambio en las políticas de inventarios</t>
  </si>
  <si>
    <t>Cambio en las negociaciones de pago a proveedores</t>
  </si>
  <si>
    <t>Cambio en el costo de la deuda con instituciones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</si>
</sst>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%"/>
    <numFmt numFmtId="165" formatCode="0.000%"/>
    <numFmt numFmtId="166" formatCode="_ * #,##0_ ;_ * \-#,##0_ ;_ * &quot;-&quot;??_ ;_ @_ "/>
    <numFmt numFmtId="167" formatCode="_ * #,##0.00000_ ;_ * \-#,##0.00000_ ;_ * &quot;-&quot;??_ ;_ @_ "/>
    <numFmt numFmtId="168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3" fillId="0" borderId="1" xfId="0" applyFont="1" applyBorder="1"/>
    <xf numFmtId="0" fontId="8" fillId="4" borderId="2" xfId="0" applyFont="1" applyFill="1" applyBorder="1" applyAlignment="1">
      <alignment horizontal="left" indent="1"/>
    </xf>
    <xf numFmtId="0" fontId="3" fillId="4" borderId="2" xfId="0" applyFont="1" applyFill="1" applyBorder="1"/>
    <xf numFmtId="0" fontId="3" fillId="5" borderId="2" xfId="0" applyFont="1" applyFill="1" applyBorder="1"/>
    <xf numFmtId="0" fontId="2" fillId="5" borderId="2" xfId="0" applyFont="1" applyFill="1" applyBorder="1"/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vertical="center" wrapText="1" readingOrder="1"/>
    </xf>
    <xf numFmtId="0" fontId="10" fillId="2" borderId="0" xfId="0" applyFont="1" applyFill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9" fontId="3" fillId="0" borderId="0" xfId="1" applyFont="1"/>
    <xf numFmtId="43" fontId="3" fillId="0" borderId="0" xfId="2" applyFont="1"/>
    <xf numFmtId="10" fontId="3" fillId="0" borderId="0" xfId="1" applyNumberFormat="1" applyFont="1"/>
    <xf numFmtId="165" fontId="3" fillId="0" borderId="0" xfId="1" applyNumberFormat="1" applyFont="1"/>
    <xf numFmtId="1" fontId="3" fillId="0" borderId="0" xfId="0" applyNumberFormat="1" applyFont="1"/>
    <xf numFmtId="1" fontId="3" fillId="0" borderId="4" xfId="0" applyNumberFormat="1" applyFont="1" applyBorder="1"/>
    <xf numFmtId="0" fontId="3" fillId="6" borderId="1" xfId="0" applyFont="1" applyFill="1" applyBorder="1" applyAlignment="1">
      <alignment horizontal="center"/>
    </xf>
    <xf numFmtId="0" fontId="3" fillId="0" borderId="2" xfId="0" applyFont="1" applyBorder="1"/>
    <xf numFmtId="1" fontId="3" fillId="0" borderId="2" xfId="0" applyNumberFormat="1" applyFont="1" applyBorder="1"/>
    <xf numFmtId="10" fontId="3" fillId="0" borderId="0" xfId="0" applyNumberFormat="1" applyFont="1"/>
    <xf numFmtId="166" fontId="3" fillId="0" borderId="0" xfId="2" applyNumberFormat="1" applyFont="1"/>
    <xf numFmtId="166" fontId="3" fillId="0" borderId="4" xfId="2" applyNumberFormat="1" applyFont="1" applyBorder="1"/>
    <xf numFmtId="0" fontId="3" fillId="0" borderId="5" xfId="0" applyFont="1" applyBorder="1"/>
    <xf numFmtId="165" fontId="3" fillId="0" borderId="5" xfId="1" applyNumberFormat="1" applyFont="1" applyBorder="1"/>
    <xf numFmtId="166" fontId="3" fillId="0" borderId="5" xfId="2" applyNumberFormat="1" applyFont="1" applyBorder="1"/>
    <xf numFmtId="10" fontId="3" fillId="0" borderId="5" xfId="1" applyNumberFormat="1" applyFont="1" applyBorder="1"/>
    <xf numFmtId="1" fontId="3" fillId="0" borderId="5" xfId="0" applyNumberFormat="1" applyFont="1" applyBorder="1"/>
    <xf numFmtId="165" fontId="3" fillId="0" borderId="5" xfId="0" applyNumberFormat="1" applyFont="1" applyBorder="1"/>
    <xf numFmtId="165" fontId="3" fillId="0" borderId="4" xfId="0" applyNumberFormat="1" applyFont="1" applyBorder="1"/>
    <xf numFmtId="10" fontId="3" fillId="0" borderId="5" xfId="0" applyNumberFormat="1" applyFont="1" applyBorder="1"/>
    <xf numFmtId="9" fontId="3" fillId="7" borderId="0" xfId="1" applyFont="1" applyFill="1"/>
    <xf numFmtId="167" fontId="3" fillId="7" borderId="0" xfId="2" applyNumberFormat="1" applyFont="1" applyFill="1"/>
    <xf numFmtId="164" fontId="3" fillId="7" borderId="0" xfId="1" applyNumberFormat="1" applyFont="1" applyFill="1"/>
    <xf numFmtId="0" fontId="3" fillId="8" borderId="0" xfId="0" applyFont="1" applyFill="1"/>
    <xf numFmtId="168" fontId="3" fillId="0" borderId="0" xfId="0" applyNumberFormat="1" applyFont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tabSelected="1" zoomScale="90" zoomScaleNormal="90" workbookViewId="0">
      <selection activeCell="I19" sqref="I19"/>
    </sheetView>
  </sheetViews>
  <sheetFormatPr baseColWidth="10" defaultRowHeight="15" x14ac:dyDescent="0.25"/>
  <cols>
    <col min="1" max="1" width="8.7109375" customWidth="1"/>
    <col min="2" max="2" width="3.85546875" customWidth="1"/>
  </cols>
  <sheetData>
    <row r="1" spans="1:16" s="1" customFormat="1" ht="18.75" x14ac:dyDescent="0.3">
      <c r="A1" s="2" t="s">
        <v>11</v>
      </c>
    </row>
    <row r="2" spans="1:16" s="1" customFormat="1" ht="12.75" x14ac:dyDescent="0.2">
      <c r="A2" s="3" t="s">
        <v>12</v>
      </c>
    </row>
    <row r="3" spans="1:16" s="1" customFormat="1" ht="12.75" x14ac:dyDescent="0.2">
      <c r="A3" s="3"/>
    </row>
    <row r="4" spans="1:16" s="1" customFormat="1" x14ac:dyDescent="0.25">
      <c r="A4" s="4" t="s">
        <v>13</v>
      </c>
    </row>
    <row r="5" spans="1:16" s="1" customFormat="1" ht="12.7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s="1" customFormat="1" ht="15.75" x14ac:dyDescent="0.25">
      <c r="A6" s="6" t="s">
        <v>85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6"/>
    </row>
    <row r="7" spans="1:16" s="1" customFormat="1" x14ac:dyDescent="0.25">
      <c r="A7" s="8"/>
      <c r="B7" s="9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6"/>
    </row>
    <row r="8" spans="1:16" ht="13.5" customHeight="1" x14ac:dyDescent="0.25"/>
    <row r="9" spans="1:16" s="1" customFormat="1" ht="13.5" customHeight="1" x14ac:dyDescent="0.2"/>
    <row r="10" spans="1:16" s="1" customFormat="1" ht="13.5" customHeight="1" x14ac:dyDescent="0.2">
      <c r="B10" s="14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1:16" s="1" customFormat="1" ht="13.5" customHeight="1" x14ac:dyDescent="0.2"/>
    <row r="12" spans="1:16" s="1" customFormat="1" ht="13.5" customHeight="1" x14ac:dyDescent="0.2">
      <c r="C12" s="1" t="s">
        <v>15</v>
      </c>
    </row>
    <row r="13" spans="1:16" s="1" customFormat="1" ht="13.5" customHeight="1" x14ac:dyDescent="0.2"/>
    <row r="14" spans="1:16" s="1" customFormat="1" ht="13.5" customHeight="1" x14ac:dyDescent="0.2">
      <c r="C14" s="1" t="s">
        <v>86</v>
      </c>
    </row>
    <row r="15" spans="1:16" s="1" customFormat="1" ht="13.5" customHeight="1" x14ac:dyDescent="0.2"/>
    <row r="16" spans="1:16" s="1" customFormat="1" ht="13.5" customHeight="1" x14ac:dyDescent="0.2"/>
    <row r="17" spans="2:11" s="1" customFormat="1" ht="13.5" customHeight="1" x14ac:dyDescent="0.2"/>
    <row r="18" spans="2:11" s="1" customFormat="1" ht="13.5" customHeight="1" x14ac:dyDescent="0.2"/>
    <row r="19" spans="2:11" s="1" customFormat="1" ht="13.5" customHeight="1" x14ac:dyDescent="0.2">
      <c r="B19" s="14" t="s">
        <v>87</v>
      </c>
      <c r="C19" s="5"/>
      <c r="D19" s="5"/>
      <c r="E19" s="5"/>
      <c r="F19" s="5"/>
      <c r="G19" s="5"/>
      <c r="H19" s="5"/>
      <c r="I19" s="5"/>
      <c r="J19" s="5"/>
      <c r="K19" s="5"/>
    </row>
    <row r="20" spans="2:11" s="1" customFormat="1" ht="13.5" customHeight="1" x14ac:dyDescent="0.2">
      <c r="B20" s="15"/>
    </row>
    <row r="21" spans="2:11" s="1" customFormat="1" ht="13.5" customHeight="1" x14ac:dyDescent="0.2">
      <c r="B21" s="15"/>
      <c r="C21" s="1" t="s">
        <v>88</v>
      </c>
    </row>
    <row r="22" spans="2:11" s="1" customFormat="1" ht="13.5" customHeight="1" x14ac:dyDescent="0.2">
      <c r="B22" s="15"/>
      <c r="C22" s="1" t="s">
        <v>89</v>
      </c>
    </row>
    <row r="23" spans="2:11" s="1" customFormat="1" ht="13.5" customHeight="1" x14ac:dyDescent="0.2">
      <c r="B23" s="15"/>
      <c r="C23" s="1" t="s">
        <v>90</v>
      </c>
    </row>
    <row r="24" spans="2:11" s="1" customFormat="1" ht="13.5" customHeight="1" x14ac:dyDescent="0.2">
      <c r="B24" s="15"/>
      <c r="C24" s="1" t="s">
        <v>91</v>
      </c>
    </row>
    <row r="25" spans="2:11" s="1" customFormat="1" ht="13.5" customHeight="1" x14ac:dyDescent="0.2">
      <c r="B25" s="15"/>
      <c r="C25" s="1" t="s">
        <v>92</v>
      </c>
    </row>
    <row r="26" spans="2:11" s="1" customFormat="1" ht="13.5" customHeight="1" x14ac:dyDescent="0.2">
      <c r="B26" s="15"/>
    </row>
    <row r="27" spans="2:11" s="1" customFormat="1" ht="13.5" customHeight="1" x14ac:dyDescent="0.2">
      <c r="D27" s="13"/>
      <c r="E27" s="13"/>
      <c r="F27" s="13"/>
      <c r="G27" s="13"/>
      <c r="H27" s="13"/>
    </row>
    <row r="28" spans="2:11" s="1" customFormat="1" ht="13.5" customHeight="1" x14ac:dyDescent="0.2">
      <c r="D28" s="13"/>
      <c r="E28" s="13"/>
      <c r="F28" s="13"/>
      <c r="G28" s="13"/>
      <c r="H28" s="13"/>
    </row>
    <row r="29" spans="2:11" s="1" customFormat="1" ht="13.5" customHeight="1" x14ac:dyDescent="0.2">
      <c r="C29" s="1" t="s">
        <v>2</v>
      </c>
      <c r="D29" s="13"/>
      <c r="E29" s="13"/>
      <c r="F29" s="13"/>
      <c r="G29" s="13"/>
      <c r="H29" s="13"/>
    </row>
    <row r="30" spans="2:11" s="1" customFormat="1" ht="13.5" customHeight="1" x14ac:dyDescent="0.2">
      <c r="C30" s="1" t="s">
        <v>2</v>
      </c>
      <c r="D30" s="13"/>
      <c r="E30" s="13"/>
      <c r="F30" s="13"/>
      <c r="G30" s="13"/>
      <c r="H30" s="13"/>
    </row>
    <row r="31" spans="2:11" s="1" customFormat="1" ht="13.5" customHeight="1" x14ac:dyDescent="0.2">
      <c r="B31" s="13"/>
      <c r="C31" s="13" t="s">
        <v>2</v>
      </c>
      <c r="D31" s="13"/>
      <c r="E31" s="13"/>
      <c r="F31" s="13"/>
      <c r="G31" s="13"/>
      <c r="H31" s="13"/>
    </row>
    <row r="32" spans="2:11" s="1" customFormat="1" ht="13.5" customHeight="1" x14ac:dyDescent="0.2">
      <c r="B32" s="13"/>
      <c r="C32" s="13"/>
      <c r="D32" s="13"/>
      <c r="E32" s="13"/>
      <c r="F32" s="13"/>
      <c r="G32" s="13"/>
      <c r="H32" s="13"/>
    </row>
    <row r="33" spans="2:11" s="1" customFormat="1" ht="13.5" customHeight="1" x14ac:dyDescent="0.2">
      <c r="B33" s="13"/>
      <c r="C33" s="13"/>
      <c r="D33" s="13"/>
      <c r="E33" s="13"/>
      <c r="F33" s="13"/>
      <c r="G33" s="13"/>
      <c r="H33" s="13"/>
    </row>
    <row r="34" spans="2:11" s="1" customFormat="1" ht="13.5" customHeight="1" x14ac:dyDescent="0.2">
      <c r="B34" s="14" t="s">
        <v>3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s="1" customFormat="1" ht="13.5" customHeight="1" x14ac:dyDescent="0.2">
      <c r="B35" s="15"/>
    </row>
    <row r="36" spans="2:11" s="1" customFormat="1" ht="13.5" customHeight="1" x14ac:dyDescent="0.2">
      <c r="B36" s="15"/>
      <c r="C36" s="1" t="s">
        <v>9</v>
      </c>
    </row>
    <row r="37" spans="2:11" s="1" customFormat="1" ht="13.5" customHeight="1" x14ac:dyDescent="0.2">
      <c r="B37" s="15"/>
      <c r="C37" s="1" t="s">
        <v>6</v>
      </c>
    </row>
    <row r="38" spans="2:11" s="1" customFormat="1" ht="13.5" customHeight="1" x14ac:dyDescent="0.2">
      <c r="C38" s="13" t="s">
        <v>10</v>
      </c>
      <c r="D38" s="12"/>
      <c r="E38" s="12"/>
      <c r="F38" s="12"/>
      <c r="G38" s="12"/>
      <c r="H38" s="12"/>
    </row>
    <row r="39" spans="2:11" s="1" customFormat="1" ht="13.5" customHeight="1" x14ac:dyDescent="0.2">
      <c r="C39" s="13" t="s">
        <v>7</v>
      </c>
      <c r="D39" s="12"/>
      <c r="E39" s="12"/>
      <c r="F39" s="12"/>
      <c r="G39" s="12"/>
      <c r="H39" s="12"/>
    </row>
    <row r="40" spans="2:11" s="1" customFormat="1" ht="13.5" customHeight="1" x14ac:dyDescent="0.2">
      <c r="C40" s="13" t="s">
        <v>8</v>
      </c>
      <c r="D40" s="12"/>
      <c r="E40" s="12"/>
      <c r="F40" s="12"/>
      <c r="G40" s="12"/>
      <c r="H40" s="12"/>
    </row>
    <row r="41" spans="2:11" s="1" customFormat="1" ht="13.5" customHeight="1" x14ac:dyDescent="0.2">
      <c r="C41" s="13"/>
      <c r="D41" s="12"/>
      <c r="E41" s="12"/>
      <c r="F41" s="12"/>
      <c r="G41" s="12"/>
      <c r="H41" s="12"/>
    </row>
    <row r="42" spans="2:11" s="1" customFormat="1" ht="13.5" customHeight="1" x14ac:dyDescent="0.2"/>
    <row r="43" spans="2:11" s="1" customFormat="1" ht="13.5" customHeight="1" x14ac:dyDescent="0.2">
      <c r="B43" s="14" t="s">
        <v>4</v>
      </c>
      <c r="C43" s="5"/>
      <c r="D43" s="5"/>
      <c r="E43" s="5"/>
    </row>
    <row r="44" spans="2:11" s="1" customFormat="1" ht="13.5" customHeight="1" x14ac:dyDescent="0.2">
      <c r="B44" s="15"/>
    </row>
    <row r="45" spans="2:11" s="1" customFormat="1" ht="13.5" customHeight="1" x14ac:dyDescent="0.2">
      <c r="C45" s="13" t="s">
        <v>16</v>
      </c>
      <c r="D45" s="12"/>
      <c r="E45" s="12"/>
      <c r="F45" s="12"/>
      <c r="G45" s="12"/>
      <c r="H45" s="12"/>
    </row>
    <row r="46" spans="2:11" s="1" customFormat="1" ht="13.5" customHeight="1" x14ac:dyDescent="0.2">
      <c r="C46" s="13" t="s">
        <v>2</v>
      </c>
    </row>
    <row r="47" spans="2:11" s="1" customFormat="1" ht="13.5" customHeight="1" x14ac:dyDescent="0.2"/>
    <row r="48" spans="2:11" s="1" customFormat="1" ht="13.5" customHeight="1" x14ac:dyDescent="0.2"/>
    <row r="49" s="1" customFormat="1" ht="13.5" customHeight="1" x14ac:dyDescent="0.2"/>
    <row r="50" s="1" customFormat="1" ht="13.5" customHeight="1" x14ac:dyDescent="0.2"/>
    <row r="51" s="1" customFormat="1" ht="13.5" customHeight="1" x14ac:dyDescent="0.2"/>
    <row r="52" s="1" customFormat="1" ht="13.5" customHeight="1" x14ac:dyDescent="0.2"/>
    <row r="53" s="1" customFormat="1" ht="13.5" customHeight="1" x14ac:dyDescent="0.2"/>
    <row r="54" s="1" customFormat="1" ht="13.5" customHeight="1" x14ac:dyDescent="0.2"/>
    <row r="55" s="1" customFormat="1" ht="13.5" customHeight="1" x14ac:dyDescent="0.2"/>
    <row r="56" s="1" customFormat="1" ht="12.75" x14ac:dyDescent="0.2"/>
    <row r="57" s="1" customFormat="1" ht="12.75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showGridLines="0" topLeftCell="A8" zoomScale="90" zoomScaleNormal="90" workbookViewId="0">
      <selection activeCell="L14" sqref="L14"/>
    </sheetView>
  </sheetViews>
  <sheetFormatPr baseColWidth="10" defaultRowHeight="12.75" x14ac:dyDescent="0.2"/>
  <cols>
    <col min="1" max="1" width="8.140625" style="1" customWidth="1"/>
    <col min="2" max="2" width="3.7109375" style="1" customWidth="1"/>
    <col min="3" max="3" width="30.140625" style="1" customWidth="1"/>
    <col min="4" max="4" width="11.5703125" style="1" customWidth="1"/>
    <col min="5" max="10" width="11.140625" style="1" customWidth="1"/>
    <col min="11" max="11" width="13.28515625" style="1" customWidth="1"/>
    <col min="12" max="16384" width="11.42578125" style="1"/>
  </cols>
  <sheetData>
    <row r="1" spans="1:15" ht="20.100000000000001" customHeight="1" x14ac:dyDescent="0.3">
      <c r="A1" s="2" t="str">
        <f>+Introduccion!A1</f>
        <v>Finanzas Corporativas</v>
      </c>
    </row>
    <row r="2" spans="1:15" ht="13.5" customHeight="1" x14ac:dyDescent="0.2">
      <c r="A2" s="3" t="str">
        <f>+Introduccion!A2</f>
        <v>Maestría en Finanzas</v>
      </c>
    </row>
    <row r="3" spans="1:15" ht="13.5" customHeight="1" x14ac:dyDescent="0.2">
      <c r="A3" s="3"/>
    </row>
    <row r="4" spans="1:15" ht="13.5" customHeight="1" x14ac:dyDescent="0.25">
      <c r="A4" s="4" t="str">
        <f>+Introduccion!A4</f>
        <v>© 2023 Mariano Merchán Fossati</v>
      </c>
    </row>
    <row r="5" spans="1:15" ht="13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95" customHeight="1" x14ac:dyDescent="0.25">
      <c r="A6" s="6" t="str">
        <f>+Introduccion!A6</f>
        <v>Tema: Gestión Valor Económico Agregado (EVA)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5.95" customHeight="1" x14ac:dyDescent="0.25">
      <c r="A7" s="8"/>
      <c r="B7" s="9" t="s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3.5" customHeight="1" x14ac:dyDescent="0.2">
      <c r="B8" s="5"/>
      <c r="C8" s="5"/>
      <c r="D8" s="5"/>
      <c r="E8" s="5"/>
      <c r="F8" s="5"/>
      <c r="G8" s="5"/>
      <c r="H8" s="5"/>
    </row>
    <row r="9" spans="1:15" ht="13.5" customHeight="1" x14ac:dyDescent="0.2">
      <c r="B9" s="10" t="s">
        <v>17</v>
      </c>
      <c r="C9" s="5"/>
      <c r="D9" s="5"/>
      <c r="E9" s="5"/>
      <c r="F9" s="5"/>
      <c r="G9" s="5"/>
      <c r="H9" s="5"/>
      <c r="I9" s="5"/>
    </row>
    <row r="10" spans="1:15" ht="13.5" customHeight="1" x14ac:dyDescent="0.2">
      <c r="B10" s="11"/>
    </row>
    <row r="11" spans="1:15" x14ac:dyDescent="0.2">
      <c r="D11" s="5"/>
      <c r="E11" s="5"/>
      <c r="F11" s="5"/>
      <c r="G11" s="5"/>
      <c r="H11" s="5"/>
      <c r="I11" s="5"/>
    </row>
    <row r="12" spans="1:15" x14ac:dyDescent="0.2">
      <c r="C12" s="5"/>
      <c r="D12" s="24"/>
      <c r="E12" s="24" t="s">
        <v>18</v>
      </c>
      <c r="F12" s="24" t="s">
        <v>19</v>
      </c>
      <c r="G12" s="24" t="s">
        <v>20</v>
      </c>
      <c r="H12" s="24" t="s">
        <v>21</v>
      </c>
      <c r="I12" s="24" t="s">
        <v>22</v>
      </c>
    </row>
    <row r="13" spans="1:15" x14ac:dyDescent="0.2">
      <c r="C13" s="1" t="s">
        <v>23</v>
      </c>
      <c r="D13" s="22"/>
      <c r="E13" s="22">
        <v>331</v>
      </c>
      <c r="F13" s="22">
        <f>+E13*(1+$L$14)</f>
        <v>350.86</v>
      </c>
      <c r="G13" s="22">
        <f t="shared" ref="G13:I13" si="0">+F13*(1+$L$14)</f>
        <v>371.91160000000002</v>
      </c>
      <c r="H13" s="22">
        <f t="shared" si="0"/>
        <v>394.22629600000005</v>
      </c>
      <c r="I13" s="22">
        <f t="shared" si="0"/>
        <v>417.87987376000007</v>
      </c>
      <c r="K13" s="1" t="s">
        <v>31</v>
      </c>
      <c r="L13" s="18">
        <v>0.35</v>
      </c>
    </row>
    <row r="14" spans="1:15" ht="13.5" thickBot="1" x14ac:dyDescent="0.25">
      <c r="C14" s="17" t="s">
        <v>24</v>
      </c>
      <c r="D14" s="23"/>
      <c r="E14" s="23">
        <f>+E13*$L$15</f>
        <v>56.27</v>
      </c>
      <c r="F14" s="23">
        <f t="shared" ref="F14:I14" si="1">+F13*$L$15</f>
        <v>59.646200000000007</v>
      </c>
      <c r="G14" s="23">
        <f t="shared" si="1"/>
        <v>63.224972000000008</v>
      </c>
      <c r="H14" s="23">
        <f t="shared" si="1"/>
        <v>67.018470320000006</v>
      </c>
      <c r="I14" s="23">
        <f t="shared" si="1"/>
        <v>71.039578539200022</v>
      </c>
      <c r="K14" s="1" t="s">
        <v>33</v>
      </c>
      <c r="L14" s="38">
        <v>0.06</v>
      </c>
    </row>
    <row r="15" spans="1:15" ht="13.5" thickTop="1" x14ac:dyDescent="0.2">
      <c r="C15" s="1" t="s">
        <v>25</v>
      </c>
      <c r="D15" s="22"/>
      <c r="E15" s="22">
        <f>+E13-E14</f>
        <v>274.73</v>
      </c>
      <c r="F15" s="22">
        <f t="shared" ref="F15:I15" si="2">+F13-F14</f>
        <v>291.21379999999999</v>
      </c>
      <c r="G15" s="22">
        <f t="shared" si="2"/>
        <v>308.68662800000004</v>
      </c>
      <c r="H15" s="22">
        <f t="shared" si="2"/>
        <v>327.20782568000004</v>
      </c>
      <c r="I15" s="22">
        <f t="shared" si="2"/>
        <v>346.84029522080004</v>
      </c>
      <c r="K15" s="1" t="s">
        <v>24</v>
      </c>
      <c r="L15" s="18">
        <v>0.17</v>
      </c>
    </row>
    <row r="16" spans="1:15" x14ac:dyDescent="0.2">
      <c r="C16" s="1" t="s">
        <v>26</v>
      </c>
      <c r="D16" s="22"/>
      <c r="E16" s="22">
        <v>115</v>
      </c>
      <c r="F16" s="22">
        <f>+E16*(1+$L$16)</f>
        <v>121.9</v>
      </c>
      <c r="G16" s="22">
        <f t="shared" ref="G16:I16" si="3">+F16*(1+$L$16)</f>
        <v>129.214</v>
      </c>
      <c r="H16" s="22">
        <f t="shared" si="3"/>
        <v>136.96684000000002</v>
      </c>
      <c r="I16" s="22">
        <f t="shared" si="3"/>
        <v>145.18485040000002</v>
      </c>
      <c r="K16" s="1" t="s">
        <v>26</v>
      </c>
      <c r="L16" s="18">
        <v>0.06</v>
      </c>
    </row>
    <row r="17" spans="2:16" ht="13.5" thickBot="1" x14ac:dyDescent="0.25">
      <c r="C17" s="17" t="s">
        <v>27</v>
      </c>
      <c r="D17" s="23"/>
      <c r="E17" s="23">
        <f>+$M$17*$L$17</f>
        <v>72</v>
      </c>
      <c r="F17" s="23">
        <f t="shared" ref="F17:I17" si="4">+$M$17*$L$17</f>
        <v>72</v>
      </c>
      <c r="G17" s="23">
        <f t="shared" si="4"/>
        <v>72</v>
      </c>
      <c r="H17" s="23">
        <f t="shared" si="4"/>
        <v>72</v>
      </c>
      <c r="I17" s="23">
        <f t="shared" si="4"/>
        <v>72</v>
      </c>
      <c r="K17" s="1" t="s">
        <v>34</v>
      </c>
      <c r="L17" s="18">
        <v>0.06</v>
      </c>
      <c r="M17" s="19">
        <v>1200</v>
      </c>
    </row>
    <row r="18" spans="2:16" ht="13.5" thickTop="1" x14ac:dyDescent="0.2">
      <c r="C18" s="1" t="s">
        <v>28</v>
      </c>
      <c r="D18" s="22"/>
      <c r="E18" s="22">
        <f>+E15-E16-E17</f>
        <v>87.730000000000018</v>
      </c>
      <c r="F18" s="22">
        <f t="shared" ref="F18:I18" si="5">+F15-F16-F17</f>
        <v>97.313799999999986</v>
      </c>
      <c r="G18" s="22">
        <f t="shared" si="5"/>
        <v>107.47262800000004</v>
      </c>
      <c r="H18" s="22">
        <f t="shared" si="5"/>
        <v>118.24098568000002</v>
      </c>
      <c r="I18" s="22">
        <f t="shared" si="5"/>
        <v>129.65544482080003</v>
      </c>
      <c r="K18" s="1" t="s">
        <v>29</v>
      </c>
      <c r="L18" s="40">
        <v>0.125</v>
      </c>
      <c r="M18" s="21">
        <f>+L18*(1-0.35)</f>
        <v>8.1250000000000003E-2</v>
      </c>
    </row>
    <row r="19" spans="2:16" ht="13.5" thickBot="1" x14ac:dyDescent="0.25">
      <c r="C19" s="17" t="s">
        <v>29</v>
      </c>
      <c r="D19" s="23"/>
      <c r="E19" s="23">
        <v>53</v>
      </c>
      <c r="F19" s="23">
        <v>49</v>
      </c>
      <c r="G19" s="23">
        <v>44</v>
      </c>
      <c r="H19" s="23">
        <v>40</v>
      </c>
      <c r="I19" s="23">
        <v>35</v>
      </c>
    </row>
    <row r="20" spans="2:16" ht="13.5" thickTop="1" x14ac:dyDescent="0.2">
      <c r="C20" s="1" t="s">
        <v>30</v>
      </c>
      <c r="D20" s="22"/>
      <c r="E20" s="22">
        <f>+E18-E19</f>
        <v>34.730000000000018</v>
      </c>
      <c r="F20" s="22">
        <f t="shared" ref="F20:I20" si="6">+F18-F19</f>
        <v>48.313799999999986</v>
      </c>
      <c r="G20" s="22">
        <f t="shared" si="6"/>
        <v>63.472628000000043</v>
      </c>
      <c r="H20" s="22">
        <f t="shared" si="6"/>
        <v>78.240985680000023</v>
      </c>
      <c r="I20" s="22">
        <f t="shared" si="6"/>
        <v>94.655444820800028</v>
      </c>
    </row>
    <row r="21" spans="2:16" ht="13.5" thickBot="1" x14ac:dyDescent="0.25">
      <c r="C21" s="17" t="s">
        <v>31</v>
      </c>
      <c r="D21" s="23"/>
      <c r="E21" s="23">
        <f>+E20*$L$13</f>
        <v>12.155500000000005</v>
      </c>
      <c r="F21" s="23">
        <f t="shared" ref="F21:I21" si="7">+F20*$L$13</f>
        <v>16.909829999999992</v>
      </c>
      <c r="G21" s="23">
        <f t="shared" si="7"/>
        <v>22.215419800000014</v>
      </c>
      <c r="H21" s="23">
        <f t="shared" si="7"/>
        <v>27.384344988000006</v>
      </c>
      <c r="I21" s="23">
        <f t="shared" si="7"/>
        <v>33.129405687280006</v>
      </c>
    </row>
    <row r="22" spans="2:16" ht="13.5" thickTop="1" x14ac:dyDescent="0.2">
      <c r="C22" s="1" t="s">
        <v>32</v>
      </c>
      <c r="D22" s="22"/>
      <c r="E22" s="22">
        <f>+E20-E21</f>
        <v>22.574500000000015</v>
      </c>
      <c r="F22" s="22">
        <f t="shared" ref="F22:I22" si="8">+F20-F21</f>
        <v>31.403969999999994</v>
      </c>
      <c r="G22" s="22">
        <f t="shared" si="8"/>
        <v>41.257208200000029</v>
      </c>
      <c r="H22" s="22">
        <f t="shared" si="8"/>
        <v>50.856640692000013</v>
      </c>
      <c r="I22" s="22">
        <f t="shared" si="8"/>
        <v>61.526039133520023</v>
      </c>
    </row>
    <row r="23" spans="2:16" x14ac:dyDescent="0.2">
      <c r="E23" s="1" t="s">
        <v>2</v>
      </c>
      <c r="F23" s="1" t="s">
        <v>2</v>
      </c>
      <c r="G23" s="1" t="s">
        <v>2</v>
      </c>
      <c r="H23" s="1" t="s">
        <v>2</v>
      </c>
      <c r="I23" s="1" t="s">
        <v>2</v>
      </c>
    </row>
    <row r="26" spans="2:16" ht="13.5" customHeight="1" x14ac:dyDescent="0.2">
      <c r="B26" s="10" t="s">
        <v>35</v>
      </c>
      <c r="C26" s="5"/>
      <c r="D26" s="5"/>
      <c r="E26" s="5"/>
      <c r="F26" s="5"/>
      <c r="G26" s="5"/>
      <c r="H26" s="5"/>
    </row>
    <row r="29" spans="2:16" x14ac:dyDescent="0.2">
      <c r="C29" s="5"/>
      <c r="D29" s="24" t="s">
        <v>36</v>
      </c>
      <c r="E29" s="24" t="s">
        <v>18</v>
      </c>
      <c r="F29" s="24" t="s">
        <v>19</v>
      </c>
      <c r="G29" s="24" t="s">
        <v>20</v>
      </c>
      <c r="H29" s="24" t="s">
        <v>21</v>
      </c>
      <c r="I29" s="24" t="s">
        <v>22</v>
      </c>
      <c r="L29" s="24" t="s">
        <v>18</v>
      </c>
      <c r="M29" s="24" t="s">
        <v>19</v>
      </c>
      <c r="N29" s="24" t="s">
        <v>20</v>
      </c>
      <c r="O29" s="24" t="s">
        <v>21</v>
      </c>
      <c r="P29" s="24" t="s">
        <v>22</v>
      </c>
    </row>
    <row r="30" spans="2:16" x14ac:dyDescent="0.2">
      <c r="C30" s="25" t="s">
        <v>37</v>
      </c>
      <c r="D30" s="26"/>
      <c r="E30" s="26" t="s">
        <v>2</v>
      </c>
      <c r="F30" s="26" t="s">
        <v>2</v>
      </c>
      <c r="G30" s="26" t="s">
        <v>2</v>
      </c>
      <c r="H30" s="26" t="s">
        <v>2</v>
      </c>
      <c r="I30" s="26" t="s">
        <v>2</v>
      </c>
    </row>
    <row r="31" spans="2:16" x14ac:dyDescent="0.2">
      <c r="C31" s="1" t="s">
        <v>38</v>
      </c>
      <c r="D31" s="1">
        <v>17</v>
      </c>
      <c r="E31" s="1">
        <v>112</v>
      </c>
      <c r="F31" s="1">
        <v>183</v>
      </c>
      <c r="G31" s="1">
        <v>264</v>
      </c>
      <c r="H31" s="1">
        <v>354</v>
      </c>
      <c r="I31" s="1">
        <v>457</v>
      </c>
    </row>
    <row r="32" spans="2:16" x14ac:dyDescent="0.2">
      <c r="C32" s="1" t="s">
        <v>39</v>
      </c>
      <c r="D32" s="1">
        <v>0</v>
      </c>
      <c r="E32" s="1">
        <f>+L32*E13/365</f>
        <v>27</v>
      </c>
      <c r="F32" s="1">
        <f t="shared" ref="F32:I32" si="9">+M32*F13/365</f>
        <v>29</v>
      </c>
      <c r="G32" s="1">
        <f t="shared" si="9"/>
        <v>31</v>
      </c>
      <c r="H32" s="1">
        <f t="shared" si="9"/>
        <v>32</v>
      </c>
      <c r="I32" s="1">
        <f t="shared" si="9"/>
        <v>34</v>
      </c>
      <c r="K32" s="1" t="s">
        <v>80</v>
      </c>
      <c r="L32" s="39">
        <v>29.773413897280967</v>
      </c>
      <c r="M32" s="39">
        <v>30.168728267685115</v>
      </c>
      <c r="N32" s="39">
        <v>30.423896431302492</v>
      </c>
      <c r="O32" s="39">
        <v>29.627653250203277</v>
      </c>
      <c r="P32" s="39">
        <v>29.697529790887717</v>
      </c>
    </row>
    <row r="33" spans="2:16" x14ac:dyDescent="0.2">
      <c r="C33" s="1" t="s">
        <v>40</v>
      </c>
      <c r="D33" s="1">
        <v>15</v>
      </c>
      <c r="E33" s="1">
        <f>+L33*E14/365</f>
        <v>13</v>
      </c>
      <c r="F33" s="1">
        <f t="shared" ref="F33:I33" si="10">+M33*F14/365</f>
        <v>14</v>
      </c>
      <c r="G33" s="1">
        <f t="shared" si="10"/>
        <v>15</v>
      </c>
      <c r="H33" s="1">
        <f t="shared" si="10"/>
        <v>16</v>
      </c>
      <c r="I33" s="1">
        <f t="shared" si="10"/>
        <v>17</v>
      </c>
      <c r="K33" s="1" t="s">
        <v>81</v>
      </c>
      <c r="L33" s="39">
        <v>84.325573129553931</v>
      </c>
      <c r="M33" s="39">
        <v>85.671844979227501</v>
      </c>
      <c r="N33" s="39">
        <v>86.595530639380897</v>
      </c>
      <c r="O33" s="39">
        <v>87.14015661824493</v>
      </c>
      <c r="P33" s="39">
        <v>87.345675855552088</v>
      </c>
    </row>
    <row r="34" spans="2:16" x14ac:dyDescent="0.2">
      <c r="C34" s="5" t="s">
        <v>41</v>
      </c>
      <c r="D34" s="5">
        <v>1200</v>
      </c>
      <c r="E34" s="5">
        <v>1128</v>
      </c>
      <c r="F34" s="5">
        <v>1056</v>
      </c>
      <c r="G34" s="5">
        <v>984</v>
      </c>
      <c r="H34" s="5">
        <v>912</v>
      </c>
      <c r="I34" s="5">
        <v>840</v>
      </c>
    </row>
    <row r="35" spans="2:16" x14ac:dyDescent="0.2">
      <c r="C35" s="25" t="s">
        <v>42</v>
      </c>
      <c r="D35" s="25">
        <f>+SUM(D31:D34)</f>
        <v>1232</v>
      </c>
      <c r="E35" s="25">
        <f t="shared" ref="E35:I35" si="11">+SUM(E31:E34)</f>
        <v>1280</v>
      </c>
      <c r="F35" s="25">
        <f t="shared" si="11"/>
        <v>1282</v>
      </c>
      <c r="G35" s="25">
        <f t="shared" si="11"/>
        <v>1294</v>
      </c>
      <c r="H35" s="25">
        <f t="shared" si="11"/>
        <v>1314</v>
      </c>
      <c r="I35" s="25">
        <f t="shared" si="11"/>
        <v>1348</v>
      </c>
    </row>
    <row r="36" spans="2:16" x14ac:dyDescent="0.2">
      <c r="C36" s="25" t="s">
        <v>43</v>
      </c>
      <c r="D36" s="25"/>
      <c r="E36" s="25"/>
      <c r="F36" s="25"/>
      <c r="G36" s="25"/>
      <c r="H36" s="25"/>
      <c r="I36" s="25"/>
    </row>
    <row r="37" spans="2:16" x14ac:dyDescent="0.2">
      <c r="C37" s="1" t="s">
        <v>59</v>
      </c>
      <c r="D37" s="1">
        <v>0</v>
      </c>
      <c r="E37" s="1">
        <f>+L37*E14/365</f>
        <v>25</v>
      </c>
      <c r="F37" s="1">
        <f t="shared" ref="F37:I37" si="12">+M37*F14/365</f>
        <v>32</v>
      </c>
      <c r="G37" s="1">
        <f t="shared" si="12"/>
        <v>38</v>
      </c>
      <c r="H37" s="1">
        <f t="shared" si="12"/>
        <v>44</v>
      </c>
      <c r="I37" s="1">
        <f t="shared" si="12"/>
        <v>51</v>
      </c>
      <c r="K37" s="1" t="s">
        <v>82</v>
      </c>
      <c r="L37" s="39">
        <v>162.16456371068062</v>
      </c>
      <c r="M37" s="39">
        <v>195.82135995252</v>
      </c>
      <c r="N37" s="39">
        <v>219.37534428643161</v>
      </c>
      <c r="O37" s="39">
        <v>239.63543070017357</v>
      </c>
      <c r="P37" s="39">
        <v>262.03702756665626</v>
      </c>
    </row>
    <row r="38" spans="2:16" x14ac:dyDescent="0.2">
      <c r="C38" s="1" t="s">
        <v>44</v>
      </c>
      <c r="D38" s="1">
        <v>427</v>
      </c>
      <c r="E38" s="1">
        <v>427</v>
      </c>
      <c r="F38" s="1">
        <v>391</v>
      </c>
      <c r="G38" s="1">
        <v>355</v>
      </c>
      <c r="H38" s="1">
        <v>319</v>
      </c>
      <c r="I38" s="1">
        <v>283</v>
      </c>
      <c r="K38" s="1" t="s">
        <v>2</v>
      </c>
    </row>
    <row r="39" spans="2:16" x14ac:dyDescent="0.2">
      <c r="C39" s="1" t="s">
        <v>45</v>
      </c>
      <c r="D39" s="1">
        <v>805</v>
      </c>
      <c r="E39" s="1">
        <v>805</v>
      </c>
      <c r="F39" s="1">
        <v>828</v>
      </c>
      <c r="G39" s="1">
        <v>859</v>
      </c>
      <c r="H39" s="1">
        <v>901</v>
      </c>
      <c r="I39" s="1">
        <v>952</v>
      </c>
    </row>
    <row r="40" spans="2:16" x14ac:dyDescent="0.2">
      <c r="C40" s="5" t="s">
        <v>46</v>
      </c>
      <c r="D40" s="5">
        <v>0</v>
      </c>
      <c r="E40" s="5">
        <v>23</v>
      </c>
      <c r="F40" s="5">
        <v>31</v>
      </c>
      <c r="G40" s="5">
        <v>42</v>
      </c>
      <c r="H40" s="5">
        <v>51</v>
      </c>
      <c r="I40" s="5">
        <v>62</v>
      </c>
    </row>
    <row r="41" spans="2:16" x14ac:dyDescent="0.2">
      <c r="C41" s="25" t="s">
        <v>42</v>
      </c>
      <c r="D41" s="25">
        <f>+SUM(D37:D40)</f>
        <v>1232</v>
      </c>
      <c r="E41" s="25">
        <f t="shared" ref="E41:I41" si="13">+SUM(E37:E40)</f>
        <v>1280</v>
      </c>
      <c r="F41" s="25">
        <f t="shared" si="13"/>
        <v>1282</v>
      </c>
      <c r="G41" s="25">
        <f t="shared" si="13"/>
        <v>1294</v>
      </c>
      <c r="H41" s="25">
        <f t="shared" si="13"/>
        <v>1315</v>
      </c>
      <c r="I41" s="25">
        <f t="shared" si="13"/>
        <v>1348</v>
      </c>
    </row>
    <row r="46" spans="2:16" ht="13.5" customHeight="1" x14ac:dyDescent="0.2">
      <c r="B46" s="10" t="s">
        <v>47</v>
      </c>
      <c r="C46" s="5"/>
      <c r="D46" s="5"/>
      <c r="E46" s="5"/>
      <c r="F46" s="5"/>
      <c r="G46" s="5"/>
      <c r="H46" s="5"/>
    </row>
    <row r="49" spans="2:9" x14ac:dyDescent="0.2">
      <c r="C49" s="5"/>
      <c r="D49" s="24"/>
      <c r="E49" s="24" t="s">
        <v>18</v>
      </c>
      <c r="F49" s="24" t="s">
        <v>19</v>
      </c>
      <c r="G49" s="24" t="s">
        <v>20</v>
      </c>
      <c r="H49" s="24" t="s">
        <v>21</v>
      </c>
      <c r="I49" s="24" t="s">
        <v>22</v>
      </c>
    </row>
    <row r="50" spans="2:9" x14ac:dyDescent="0.2">
      <c r="C50" s="1" t="s">
        <v>48</v>
      </c>
      <c r="D50" s="22"/>
      <c r="E50" s="22">
        <f>+E18</f>
        <v>87.730000000000018</v>
      </c>
      <c r="F50" s="22">
        <f>+F18</f>
        <v>97.313799999999986</v>
      </c>
      <c r="G50" s="22">
        <f>+G18</f>
        <v>107.47262800000004</v>
      </c>
      <c r="H50" s="22">
        <f>+H18</f>
        <v>118.24098568000002</v>
      </c>
      <c r="I50" s="22">
        <f>+I18</f>
        <v>129.65544482080003</v>
      </c>
    </row>
    <row r="51" spans="2:9" ht="13.5" thickBot="1" x14ac:dyDescent="0.25">
      <c r="C51" s="17" t="s">
        <v>49</v>
      </c>
      <c r="D51" s="23"/>
      <c r="E51" s="23">
        <f>+E35</f>
        <v>1280</v>
      </c>
      <c r="F51" s="23">
        <f>+F35</f>
        <v>1282</v>
      </c>
      <c r="G51" s="23">
        <f>+G35</f>
        <v>1294</v>
      </c>
      <c r="H51" s="23">
        <f>+H35</f>
        <v>1314</v>
      </c>
      <c r="I51" s="23">
        <f>+I35</f>
        <v>1348</v>
      </c>
    </row>
    <row r="52" spans="2:9" ht="13.5" thickTop="1" x14ac:dyDescent="0.2">
      <c r="C52" s="1" t="s">
        <v>50</v>
      </c>
      <c r="D52" s="22"/>
      <c r="E52" s="20">
        <f>+E50/E51</f>
        <v>6.8539062500000011E-2</v>
      </c>
      <c r="F52" s="20">
        <f t="shared" ref="F52:I52" si="14">+F50/F51</f>
        <v>7.5907800312012469E-2</v>
      </c>
      <c r="G52" s="20">
        <f t="shared" si="14"/>
        <v>8.3054581143740369E-2</v>
      </c>
      <c r="H52" s="20">
        <f t="shared" si="14"/>
        <v>8.9985529436834105E-2</v>
      </c>
      <c r="I52" s="20">
        <f t="shared" si="14"/>
        <v>9.6183564407121683E-2</v>
      </c>
    </row>
    <row r="53" spans="2:9" x14ac:dyDescent="0.2">
      <c r="C53" s="1" t="s">
        <v>51</v>
      </c>
      <c r="E53" s="27">
        <f>+AVERAGE(E52:I52)</f>
        <v>8.2734107559941719E-2</v>
      </c>
    </row>
    <row r="57" spans="2:9" ht="13.5" customHeight="1" x14ac:dyDescent="0.2">
      <c r="B57" s="10" t="s">
        <v>52</v>
      </c>
      <c r="C57" s="5"/>
      <c r="D57" s="5"/>
      <c r="E57" s="5"/>
      <c r="F57" s="5"/>
      <c r="G57" s="5"/>
      <c r="H57" s="5"/>
    </row>
    <row r="60" spans="2:9" x14ac:dyDescent="0.2">
      <c r="C60" s="5"/>
      <c r="D60" s="24"/>
      <c r="E60" s="24" t="s">
        <v>18</v>
      </c>
      <c r="F60" s="24" t="s">
        <v>19</v>
      </c>
      <c r="G60" s="24" t="s">
        <v>20</v>
      </c>
      <c r="H60" s="24" t="s">
        <v>21</v>
      </c>
      <c r="I60" s="24" t="s">
        <v>22</v>
      </c>
    </row>
    <row r="61" spans="2:9" x14ac:dyDescent="0.2">
      <c r="C61" s="1" t="s">
        <v>32</v>
      </c>
      <c r="D61" s="22"/>
      <c r="E61" s="22">
        <f>+E22</f>
        <v>22.574500000000015</v>
      </c>
      <c r="F61" s="22">
        <f>+F22</f>
        <v>31.403969999999994</v>
      </c>
      <c r="G61" s="22">
        <f>+G22</f>
        <v>41.257208200000029</v>
      </c>
      <c r="H61" s="22">
        <f>+H22</f>
        <v>50.856640692000013</v>
      </c>
      <c r="I61" s="22">
        <f>+I22</f>
        <v>61.526039133520023</v>
      </c>
    </row>
    <row r="62" spans="2:9" ht="13.5" thickBot="1" x14ac:dyDescent="0.25">
      <c r="C62" s="17" t="s">
        <v>53</v>
      </c>
      <c r="D62" s="23"/>
      <c r="E62" s="23">
        <f>+E39+E40</f>
        <v>828</v>
      </c>
      <c r="F62" s="23">
        <f>+F39+F40</f>
        <v>859</v>
      </c>
      <c r="G62" s="23">
        <f>+G39+G40</f>
        <v>901</v>
      </c>
      <c r="H62" s="23">
        <f>+H39+H40</f>
        <v>952</v>
      </c>
      <c r="I62" s="23">
        <f>+I39+I40</f>
        <v>1014</v>
      </c>
    </row>
    <row r="63" spans="2:9" ht="13.5" thickTop="1" x14ac:dyDescent="0.2">
      <c r="C63" s="1" t="s">
        <v>54</v>
      </c>
      <c r="D63" s="22"/>
      <c r="E63" s="20">
        <f>+E61/E62</f>
        <v>2.7263888888888907E-2</v>
      </c>
      <c r="F63" s="20">
        <f t="shared" ref="F63:I63" si="15">+F61/F62</f>
        <v>3.6558754365541318E-2</v>
      </c>
      <c r="G63" s="20">
        <f t="shared" si="15"/>
        <v>4.5790464150943427E-2</v>
      </c>
      <c r="H63" s="20">
        <f t="shared" si="15"/>
        <v>5.3420841063025228E-2</v>
      </c>
      <c r="I63" s="20">
        <f t="shared" si="15"/>
        <v>6.0676567192820538E-2</v>
      </c>
    </row>
    <row r="64" spans="2:9" x14ac:dyDescent="0.2">
      <c r="C64" s="1" t="s">
        <v>55</v>
      </c>
      <c r="E64" s="27">
        <f>+AVERAGE(E63:I63)</f>
        <v>4.4742103132243881E-2</v>
      </c>
    </row>
    <row r="68" spans="2:9" ht="13.5" customHeight="1" x14ac:dyDescent="0.2">
      <c r="B68" s="10" t="s">
        <v>56</v>
      </c>
      <c r="C68" s="5"/>
      <c r="D68" s="5"/>
      <c r="E68" s="5"/>
      <c r="F68" s="5"/>
      <c r="G68" s="5"/>
      <c r="H68" s="5"/>
    </row>
    <row r="71" spans="2:9" x14ac:dyDescent="0.2">
      <c r="C71" s="5"/>
      <c r="D71" s="24" t="s">
        <v>36</v>
      </c>
      <c r="E71" s="24" t="s">
        <v>18</v>
      </c>
      <c r="F71" s="24" t="s">
        <v>19</v>
      </c>
      <c r="G71" s="24" t="s">
        <v>20</v>
      </c>
      <c r="H71" s="24" t="s">
        <v>21</v>
      </c>
      <c r="I71" s="24" t="s">
        <v>22</v>
      </c>
    </row>
    <row r="72" spans="2:9" x14ac:dyDescent="0.2">
      <c r="C72" s="1" t="s">
        <v>57</v>
      </c>
      <c r="D72" s="22">
        <f>-D35</f>
        <v>-1232</v>
      </c>
      <c r="E72" s="22" t="s">
        <v>2</v>
      </c>
      <c r="F72" s="22" t="s">
        <v>2</v>
      </c>
      <c r="G72" s="22" t="s">
        <v>2</v>
      </c>
      <c r="H72" s="22" t="s">
        <v>2</v>
      </c>
      <c r="I72" s="22" t="s">
        <v>2</v>
      </c>
    </row>
    <row r="73" spans="2:9" x14ac:dyDescent="0.2">
      <c r="C73" s="1" t="s">
        <v>48</v>
      </c>
      <c r="E73" s="22">
        <f>+E18</f>
        <v>87.730000000000018</v>
      </c>
      <c r="F73" s="22">
        <f>+F18</f>
        <v>97.313799999999986</v>
      </c>
      <c r="G73" s="22">
        <f>+G18</f>
        <v>107.47262800000004</v>
      </c>
      <c r="H73" s="22">
        <f>+H18</f>
        <v>118.24098568000002</v>
      </c>
      <c r="I73" s="22">
        <f>+I18</f>
        <v>129.65544482080003</v>
      </c>
    </row>
    <row r="74" spans="2:9" x14ac:dyDescent="0.2">
      <c r="C74" s="1" t="s">
        <v>27</v>
      </c>
      <c r="E74" s="22">
        <f>+E17</f>
        <v>72</v>
      </c>
      <c r="F74" s="22">
        <f>+F17</f>
        <v>72</v>
      </c>
      <c r="G74" s="22">
        <f>+G17</f>
        <v>72</v>
      </c>
      <c r="H74" s="22">
        <f>+H17</f>
        <v>72</v>
      </c>
      <c r="I74" s="22">
        <f>+I17</f>
        <v>72</v>
      </c>
    </row>
    <row r="75" spans="2:9" ht="13.5" thickBot="1" x14ac:dyDescent="0.25">
      <c r="C75" s="17" t="s">
        <v>58</v>
      </c>
      <c r="D75" s="17"/>
      <c r="E75" s="17"/>
      <c r="F75" s="17"/>
      <c r="G75" s="17"/>
      <c r="H75" s="17"/>
      <c r="I75" s="17">
        <f>+I40+I39</f>
        <v>1014</v>
      </c>
    </row>
    <row r="76" spans="2:9" ht="13.5" thickTop="1" x14ac:dyDescent="0.2">
      <c r="C76" s="1" t="s">
        <v>5</v>
      </c>
      <c r="D76" s="22">
        <f>+SUM(D72:D75)</f>
        <v>-1232</v>
      </c>
      <c r="E76" s="22">
        <f t="shared" ref="E76:I76" si="16">+SUM(E72:E75)</f>
        <v>159.73000000000002</v>
      </c>
      <c r="F76" s="22">
        <f t="shared" si="16"/>
        <v>169.31379999999999</v>
      </c>
      <c r="G76" s="22">
        <f t="shared" si="16"/>
        <v>179.47262800000004</v>
      </c>
      <c r="H76" s="22">
        <f t="shared" si="16"/>
        <v>190.24098568000002</v>
      </c>
      <c r="I76" s="22">
        <f t="shared" si="16"/>
        <v>1215.6554448208001</v>
      </c>
    </row>
    <row r="77" spans="2:9" x14ac:dyDescent="0.2">
      <c r="C77" s="1" t="s">
        <v>60</v>
      </c>
      <c r="D77" s="27">
        <f>+IRR(D76:I76)</f>
        <v>0.1162526073623793</v>
      </c>
    </row>
    <row r="81" spans="2:14" ht="13.5" customHeight="1" x14ac:dyDescent="0.2">
      <c r="B81" s="10" t="s">
        <v>61</v>
      </c>
      <c r="C81" s="5"/>
      <c r="D81" s="5"/>
      <c r="E81" s="5"/>
      <c r="F81" s="5"/>
      <c r="G81" s="5"/>
      <c r="H81" s="5"/>
    </row>
    <row r="83" spans="2:14" x14ac:dyDescent="0.2">
      <c r="C83" s="5"/>
      <c r="D83" s="24"/>
      <c r="E83" s="24" t="s">
        <v>18</v>
      </c>
      <c r="F83" s="24" t="s">
        <v>19</v>
      </c>
      <c r="G83" s="24" t="s">
        <v>20</v>
      </c>
      <c r="H83" s="24" t="s">
        <v>21</v>
      </c>
      <c r="I83" s="24" t="s">
        <v>22</v>
      </c>
    </row>
    <row r="84" spans="2:14" x14ac:dyDescent="0.2">
      <c r="C84" s="1" t="s">
        <v>32</v>
      </c>
      <c r="D84" s="22"/>
      <c r="E84" s="28">
        <f>+E22</f>
        <v>22.574500000000015</v>
      </c>
      <c r="F84" s="28">
        <f>+F22</f>
        <v>31.403969999999994</v>
      </c>
      <c r="G84" s="28">
        <f>+G22</f>
        <v>41.257208200000029</v>
      </c>
      <c r="H84" s="28">
        <f>+H22</f>
        <v>50.856640692000013</v>
      </c>
      <c r="I84" s="28">
        <f>+I22</f>
        <v>61.526039133520023</v>
      </c>
    </row>
    <row r="85" spans="2:14" ht="13.5" thickBot="1" x14ac:dyDescent="0.25">
      <c r="C85" s="17" t="s">
        <v>29</v>
      </c>
      <c r="D85" s="23"/>
      <c r="E85" s="29">
        <f>+E19</f>
        <v>53</v>
      </c>
      <c r="F85" s="29">
        <f>+F19</f>
        <v>49</v>
      </c>
      <c r="G85" s="29">
        <f>+G19</f>
        <v>44</v>
      </c>
      <c r="H85" s="29">
        <f>+H19</f>
        <v>40</v>
      </c>
      <c r="I85" s="29">
        <f>+I19</f>
        <v>35</v>
      </c>
    </row>
    <row r="86" spans="2:14" ht="13.5" thickTop="1" x14ac:dyDescent="0.2">
      <c r="C86" s="1" t="s">
        <v>62</v>
      </c>
      <c r="D86" s="22"/>
      <c r="E86" s="28">
        <f>+E84+E85</f>
        <v>75.574500000000015</v>
      </c>
      <c r="F86" s="28">
        <f t="shared" ref="F86:I86" si="17">+F84+F85</f>
        <v>80.403969999999987</v>
      </c>
      <c r="G86" s="28">
        <f t="shared" si="17"/>
        <v>85.257208200000036</v>
      </c>
      <c r="H86" s="28">
        <f t="shared" si="17"/>
        <v>90.856640692000013</v>
      </c>
      <c r="I86" s="28">
        <f t="shared" si="17"/>
        <v>96.526039133520015</v>
      </c>
    </row>
    <row r="89" spans="2:14" x14ac:dyDescent="0.2">
      <c r="C89" s="5"/>
      <c r="D89" s="24"/>
      <c r="E89" s="24" t="s">
        <v>18</v>
      </c>
      <c r="F89" s="24" t="s">
        <v>19</v>
      </c>
      <c r="G89" s="24" t="s">
        <v>20</v>
      </c>
      <c r="H89" s="24" t="s">
        <v>21</v>
      </c>
      <c r="I89" s="24" t="s">
        <v>22</v>
      </c>
    </row>
    <row r="90" spans="2:14" x14ac:dyDescent="0.2">
      <c r="C90" s="1" t="s">
        <v>63</v>
      </c>
      <c r="D90" s="22"/>
      <c r="E90" s="28">
        <f>+E35</f>
        <v>1280</v>
      </c>
      <c r="F90" s="28">
        <f>+F35</f>
        <v>1282</v>
      </c>
      <c r="G90" s="28">
        <f>+G35</f>
        <v>1294</v>
      </c>
      <c r="H90" s="28">
        <f>+H35</f>
        <v>1314</v>
      </c>
      <c r="I90" s="28">
        <f>+I35</f>
        <v>1348</v>
      </c>
    </row>
    <row r="91" spans="2:14" ht="13.5" thickBot="1" x14ac:dyDescent="0.25">
      <c r="C91" s="17" t="s">
        <v>64</v>
      </c>
      <c r="D91" s="23"/>
      <c r="E91" s="29">
        <f>+E37</f>
        <v>25</v>
      </c>
      <c r="F91" s="29">
        <f>+F37</f>
        <v>32</v>
      </c>
      <c r="G91" s="29">
        <f>+G37</f>
        <v>38</v>
      </c>
      <c r="H91" s="29">
        <f>+H37</f>
        <v>44</v>
      </c>
      <c r="I91" s="29">
        <f>+I37</f>
        <v>51</v>
      </c>
    </row>
    <row r="92" spans="2:14" ht="13.5" thickTop="1" x14ac:dyDescent="0.2">
      <c r="C92" s="1" t="s">
        <v>65</v>
      </c>
      <c r="D92" s="22"/>
      <c r="E92" s="28">
        <f>+E90-E91</f>
        <v>1255</v>
      </c>
      <c r="F92" s="28">
        <f t="shared" ref="F92:I92" si="18">+F90-F91</f>
        <v>1250</v>
      </c>
      <c r="G92" s="28">
        <f t="shared" si="18"/>
        <v>1256</v>
      </c>
      <c r="H92" s="28">
        <f t="shared" si="18"/>
        <v>1270</v>
      </c>
      <c r="I92" s="28">
        <f t="shared" si="18"/>
        <v>1297</v>
      </c>
    </row>
    <row r="95" spans="2:14" x14ac:dyDescent="0.2">
      <c r="C95" s="5"/>
      <c r="D95" s="24" t="s">
        <v>67</v>
      </c>
      <c r="E95" s="24" t="s">
        <v>18</v>
      </c>
      <c r="F95" s="24" t="s">
        <v>18</v>
      </c>
      <c r="G95" s="24" t="s">
        <v>19</v>
      </c>
      <c r="H95" s="24" t="s">
        <v>19</v>
      </c>
      <c r="I95" s="24" t="s">
        <v>20</v>
      </c>
      <c r="J95" s="24" t="s">
        <v>20</v>
      </c>
      <c r="K95" s="24" t="s">
        <v>21</v>
      </c>
      <c r="L95" s="24" t="s">
        <v>21</v>
      </c>
      <c r="M95" s="24" t="s">
        <v>22</v>
      </c>
      <c r="N95" s="24" t="s">
        <v>22</v>
      </c>
    </row>
    <row r="96" spans="2:14" x14ac:dyDescent="0.2">
      <c r="C96" s="30" t="s">
        <v>53</v>
      </c>
      <c r="D96" s="31">
        <v>0.1</v>
      </c>
      <c r="E96" s="32">
        <f>+E40+E39</f>
        <v>828</v>
      </c>
      <c r="F96" s="33">
        <f>+E96/$E$98</f>
        <v>0.65976095617529884</v>
      </c>
      <c r="G96" s="32">
        <f>+F39+F40</f>
        <v>859</v>
      </c>
      <c r="H96" s="33">
        <f>+G96/$G$98</f>
        <v>0.68720000000000003</v>
      </c>
      <c r="I96" s="32">
        <f>+G39+G40</f>
        <v>901</v>
      </c>
      <c r="J96" s="33">
        <f>+I96/$I$98</f>
        <v>0.71735668789808915</v>
      </c>
      <c r="K96" s="32">
        <f>+H39+H40</f>
        <v>952</v>
      </c>
      <c r="L96" s="33">
        <f>+K96/$K$98</f>
        <v>0.74901652242328876</v>
      </c>
      <c r="M96" s="32">
        <f>+I39+I40</f>
        <v>1014</v>
      </c>
      <c r="N96" s="33">
        <f>+M96/$M$98</f>
        <v>0.78180416345412496</v>
      </c>
    </row>
    <row r="97" spans="3:14" x14ac:dyDescent="0.2">
      <c r="C97" s="30" t="s">
        <v>66</v>
      </c>
      <c r="D97" s="31">
        <v>8.1250000000000003E-2</v>
      </c>
      <c r="E97" s="32">
        <f>+E38</f>
        <v>427</v>
      </c>
      <c r="F97" s="33">
        <f t="shared" ref="F97:F98" si="19">+E97/$E$98</f>
        <v>0.34023904382470121</v>
      </c>
      <c r="G97" s="32">
        <f>+F38</f>
        <v>391</v>
      </c>
      <c r="H97" s="33">
        <f t="shared" ref="H97:H98" si="20">+G97/$G$98</f>
        <v>0.31280000000000002</v>
      </c>
      <c r="I97" s="32">
        <f>+G38</f>
        <v>355</v>
      </c>
      <c r="J97" s="33">
        <f t="shared" ref="J97:J98" si="21">+I97/$I$98</f>
        <v>0.28264331210191085</v>
      </c>
      <c r="K97" s="32">
        <f>+H38</f>
        <v>319</v>
      </c>
      <c r="L97" s="33">
        <f t="shared" ref="L97:L98" si="22">+K97/$K$98</f>
        <v>0.25098347757671124</v>
      </c>
      <c r="M97" s="32">
        <f>+I38</f>
        <v>283</v>
      </c>
      <c r="N97" s="33">
        <f t="shared" ref="N97:N98" si="23">+M97/$M$98</f>
        <v>0.2181958365458751</v>
      </c>
    </row>
    <row r="98" spans="3:14" x14ac:dyDescent="0.2">
      <c r="C98" s="30" t="s">
        <v>42</v>
      </c>
      <c r="D98" s="34"/>
      <c r="E98" s="32">
        <f>+SUM(E96:E97)</f>
        <v>1255</v>
      </c>
      <c r="F98" s="33">
        <f t="shared" si="19"/>
        <v>1</v>
      </c>
      <c r="G98" s="32">
        <f t="shared" ref="G98:M98" si="24">+SUM(G96:G97)</f>
        <v>1250</v>
      </c>
      <c r="H98" s="33">
        <f t="shared" si="20"/>
        <v>1</v>
      </c>
      <c r="I98" s="32">
        <f t="shared" si="24"/>
        <v>1256</v>
      </c>
      <c r="J98" s="33">
        <f t="shared" si="21"/>
        <v>1</v>
      </c>
      <c r="K98" s="32">
        <f t="shared" si="24"/>
        <v>1271</v>
      </c>
      <c r="L98" s="33">
        <f t="shared" si="22"/>
        <v>1</v>
      </c>
      <c r="M98" s="32">
        <f t="shared" si="24"/>
        <v>1297</v>
      </c>
      <c r="N98" s="33">
        <f t="shared" si="23"/>
        <v>1</v>
      </c>
    </row>
    <row r="100" spans="3:14" x14ac:dyDescent="0.2">
      <c r="C100" s="30" t="s">
        <v>68</v>
      </c>
      <c r="D100" s="30"/>
      <c r="E100" s="30"/>
      <c r="F100" s="35">
        <f>+$D$96*F96+$D$97*F97</f>
        <v>9.3620517928286864E-2</v>
      </c>
      <c r="G100" s="35" t="s">
        <v>2</v>
      </c>
      <c r="H100" s="35">
        <f>+$D$96*H96+$D$97*H97</f>
        <v>9.413500000000001E-2</v>
      </c>
      <c r="I100" s="35" t="s">
        <v>2</v>
      </c>
      <c r="J100" s="35">
        <f>+$D$96*J96+$D$97*J97</f>
        <v>9.4700437898089171E-2</v>
      </c>
      <c r="K100" s="35" t="s">
        <v>2</v>
      </c>
      <c r="L100" s="35">
        <f>+$D$96*L96+$D$97*L97</f>
        <v>9.5294059795436675E-2</v>
      </c>
      <c r="M100" s="35" t="s">
        <v>2</v>
      </c>
      <c r="N100" s="35">
        <f>+$D$96*N96+$D$97*N97</f>
        <v>9.5908828064764862E-2</v>
      </c>
    </row>
    <row r="104" spans="3:14" x14ac:dyDescent="0.2">
      <c r="C104" s="5"/>
      <c r="D104" s="24" t="s">
        <v>2</v>
      </c>
      <c r="E104" s="24" t="s">
        <v>18</v>
      </c>
      <c r="F104" s="24" t="s">
        <v>19</v>
      </c>
      <c r="G104" s="24" t="s">
        <v>20</v>
      </c>
      <c r="H104" s="24" t="s">
        <v>21</v>
      </c>
      <c r="I104" s="24" t="s">
        <v>22</v>
      </c>
    </row>
    <row r="105" spans="3:14" x14ac:dyDescent="0.2">
      <c r="C105" s="1" t="s">
        <v>62</v>
      </c>
      <c r="D105" s="22" t="s">
        <v>2</v>
      </c>
      <c r="E105" s="22">
        <f>+E86</f>
        <v>75.574500000000015</v>
      </c>
      <c r="F105" s="22">
        <f t="shared" ref="F105:I105" si="25">+F86</f>
        <v>80.403969999999987</v>
      </c>
      <c r="G105" s="22">
        <f t="shared" si="25"/>
        <v>85.257208200000036</v>
      </c>
      <c r="H105" s="22">
        <f t="shared" si="25"/>
        <v>90.856640692000013</v>
      </c>
      <c r="I105" s="22">
        <f t="shared" si="25"/>
        <v>96.526039133520015</v>
      </c>
    </row>
    <row r="106" spans="3:14" x14ac:dyDescent="0.2">
      <c r="C106" s="1" t="s">
        <v>65</v>
      </c>
      <c r="E106" s="22">
        <f>+E92</f>
        <v>1255</v>
      </c>
      <c r="F106" s="22">
        <f t="shared" ref="F106:I106" si="26">+F92</f>
        <v>1250</v>
      </c>
      <c r="G106" s="22">
        <f t="shared" si="26"/>
        <v>1256</v>
      </c>
      <c r="H106" s="22">
        <f t="shared" si="26"/>
        <v>1270</v>
      </c>
      <c r="I106" s="22">
        <f t="shared" si="26"/>
        <v>1297</v>
      </c>
    </row>
    <row r="107" spans="3:14" ht="13.5" thickBot="1" x14ac:dyDescent="0.25">
      <c r="C107" s="17" t="s">
        <v>68</v>
      </c>
      <c r="D107" s="17"/>
      <c r="E107" s="36">
        <f>+F100</f>
        <v>9.3620517928286864E-2</v>
      </c>
      <c r="F107" s="36">
        <f>+H100</f>
        <v>9.413500000000001E-2</v>
      </c>
      <c r="G107" s="36">
        <f>+J100</f>
        <v>9.4700437898089171E-2</v>
      </c>
      <c r="H107" s="36">
        <f>+L100</f>
        <v>9.5294059795436675E-2</v>
      </c>
      <c r="I107" s="36">
        <f>+N100</f>
        <v>9.5908828064764862E-2</v>
      </c>
    </row>
    <row r="108" spans="3:14" ht="13.5" thickTop="1" x14ac:dyDescent="0.2">
      <c r="C108" s="1" t="s">
        <v>69</v>
      </c>
      <c r="D108" s="22" t="s">
        <v>2</v>
      </c>
      <c r="E108" s="22">
        <f>+E105-(E106*E107)</f>
        <v>-41.919250000000005</v>
      </c>
      <c r="F108" s="22">
        <f t="shared" ref="F108:I108" si="27">+F105-(F106*F107)</f>
        <v>-37.26478000000003</v>
      </c>
      <c r="G108" s="22">
        <f t="shared" si="27"/>
        <v>-33.686541799999958</v>
      </c>
      <c r="H108" s="22">
        <f t="shared" si="27"/>
        <v>-30.166815248204571</v>
      </c>
      <c r="I108" s="22">
        <f t="shared" si="27"/>
        <v>-27.86771086648001</v>
      </c>
    </row>
    <row r="109" spans="3:14" x14ac:dyDescent="0.2">
      <c r="C109" s="1" t="s">
        <v>70</v>
      </c>
      <c r="E109" s="22">
        <f>+NPV(D96, E108:I108)</f>
        <v>-132.12294200129463</v>
      </c>
    </row>
    <row r="110" spans="3:14" x14ac:dyDescent="0.2">
      <c r="E110" s="22"/>
    </row>
    <row r="111" spans="3:14" x14ac:dyDescent="0.2">
      <c r="C111" s="1" t="s">
        <v>71</v>
      </c>
      <c r="E111" s="22">
        <f>+I75/(1+0.1)^5</f>
        <v>629.61422158198309</v>
      </c>
    </row>
    <row r="112" spans="3:14" x14ac:dyDescent="0.2">
      <c r="C112" s="1" t="s">
        <v>72</v>
      </c>
      <c r="E112" s="22">
        <f>+E109+E111</f>
        <v>497.49127958068846</v>
      </c>
    </row>
    <row r="117" spans="2:8" ht="13.5" customHeight="1" x14ac:dyDescent="0.2">
      <c r="B117" s="10" t="s">
        <v>73</v>
      </c>
      <c r="C117" s="5"/>
      <c r="D117" s="5"/>
      <c r="E117" s="5"/>
      <c r="F117" s="5"/>
      <c r="G117" s="5"/>
      <c r="H117" s="5"/>
    </row>
    <row r="119" spans="2:8" x14ac:dyDescent="0.2">
      <c r="D119" s="24" t="s">
        <v>79</v>
      </c>
      <c r="H119" s="24" t="s">
        <v>83</v>
      </c>
    </row>
    <row r="120" spans="2:8" x14ac:dyDescent="0.2">
      <c r="C120" s="30" t="s">
        <v>74</v>
      </c>
      <c r="D120" s="37">
        <f>+E53</f>
        <v>8.2734107559941719E-2</v>
      </c>
      <c r="H120" s="37">
        <v>8.2734107559941719E-2</v>
      </c>
    </row>
    <row r="121" spans="2:8" x14ac:dyDescent="0.2">
      <c r="C121" s="30" t="s">
        <v>75</v>
      </c>
      <c r="D121" s="37">
        <f>+E64</f>
        <v>4.4742103132243881E-2</v>
      </c>
      <c r="H121" s="37">
        <v>4.4742103132243881E-2</v>
      </c>
    </row>
    <row r="122" spans="2:8" x14ac:dyDescent="0.2">
      <c r="C122" s="30" t="s">
        <v>76</v>
      </c>
      <c r="D122" s="37">
        <f>+D77</f>
        <v>0.1162526073623793</v>
      </c>
      <c r="H122" s="37">
        <v>0.1162526073623793</v>
      </c>
    </row>
    <row r="123" spans="2:8" x14ac:dyDescent="0.2">
      <c r="C123" s="30" t="s">
        <v>77</v>
      </c>
      <c r="D123" s="34">
        <f>+E109</f>
        <v>-132.12294200129463</v>
      </c>
      <c r="H123" s="34">
        <v>-132.12294200129463</v>
      </c>
    </row>
    <row r="124" spans="2:8" x14ac:dyDescent="0.2">
      <c r="C124" s="30" t="s">
        <v>78</v>
      </c>
      <c r="D124" s="34">
        <f>+E112</f>
        <v>497.49127958068846</v>
      </c>
      <c r="H124" s="34">
        <v>497.49127958068846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showGridLines="0" topLeftCell="A111" zoomScale="90" zoomScaleNormal="90" workbookViewId="0">
      <selection activeCell="F134" sqref="F134"/>
    </sheetView>
  </sheetViews>
  <sheetFormatPr baseColWidth="10" defaultRowHeight="12.75" x14ac:dyDescent="0.2"/>
  <cols>
    <col min="1" max="1" width="8.140625" style="1" customWidth="1"/>
    <col min="2" max="2" width="3.7109375" style="1" customWidth="1"/>
    <col min="3" max="3" width="30.140625" style="1" customWidth="1"/>
    <col min="4" max="4" width="11.5703125" style="1" customWidth="1"/>
    <col min="5" max="10" width="11.140625" style="1" customWidth="1"/>
    <col min="11" max="11" width="13.28515625" style="1" customWidth="1"/>
    <col min="12" max="16384" width="11.42578125" style="1"/>
  </cols>
  <sheetData>
    <row r="1" spans="1:15" ht="20.100000000000001" customHeight="1" x14ac:dyDescent="0.3">
      <c r="A1" s="2" t="str">
        <f>+Introduccion!A1</f>
        <v>Finanzas Corporativas</v>
      </c>
    </row>
    <row r="2" spans="1:15" ht="13.5" customHeight="1" x14ac:dyDescent="0.2">
      <c r="A2" s="3" t="str">
        <f>+Introduccion!A2</f>
        <v>Maestría en Finanzas</v>
      </c>
    </row>
    <row r="3" spans="1:15" ht="13.5" customHeight="1" x14ac:dyDescent="0.2">
      <c r="A3" s="3"/>
    </row>
    <row r="4" spans="1:15" ht="13.5" customHeight="1" x14ac:dyDescent="0.25">
      <c r="A4" s="4" t="str">
        <f>+Introduccion!A4</f>
        <v>© 2023 Mariano Merchán Fossati</v>
      </c>
    </row>
    <row r="5" spans="1:15" ht="13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95" customHeight="1" x14ac:dyDescent="0.25">
      <c r="A6" s="6" t="str">
        <f>+Introduccion!A6</f>
        <v>Tema: Gestión Valor Económico Agregado (EVA)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5.95" customHeight="1" x14ac:dyDescent="0.25">
      <c r="A7" s="8"/>
      <c r="B7" s="9" t="s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3.5" customHeight="1" x14ac:dyDescent="0.2">
      <c r="B8" s="5"/>
      <c r="C8" s="5"/>
      <c r="D8" s="5"/>
      <c r="E8" s="5"/>
      <c r="F8" s="5"/>
      <c r="G8" s="5"/>
      <c r="H8" s="5"/>
    </row>
    <row r="9" spans="1:15" ht="13.5" customHeight="1" x14ac:dyDescent="0.2">
      <c r="B9" s="10" t="s">
        <v>17</v>
      </c>
      <c r="C9" s="5"/>
      <c r="D9" s="5"/>
      <c r="E9" s="5"/>
      <c r="F9" s="5"/>
      <c r="G9" s="5"/>
      <c r="H9" s="5"/>
      <c r="I9" s="5"/>
    </row>
    <row r="10" spans="1:15" ht="13.5" customHeight="1" x14ac:dyDescent="0.2">
      <c r="B10" s="11"/>
    </row>
    <row r="11" spans="1:15" x14ac:dyDescent="0.2">
      <c r="D11" s="5"/>
      <c r="E11" s="5"/>
      <c r="F11" s="5"/>
      <c r="G11" s="5"/>
      <c r="H11" s="5"/>
      <c r="I11" s="5"/>
    </row>
    <row r="12" spans="1:15" x14ac:dyDescent="0.2">
      <c r="C12" s="5"/>
      <c r="D12" s="24"/>
      <c r="E12" s="24" t="s">
        <v>18</v>
      </c>
      <c r="F12" s="24" t="s">
        <v>19</v>
      </c>
      <c r="G12" s="24" t="s">
        <v>20</v>
      </c>
      <c r="H12" s="24" t="s">
        <v>21</v>
      </c>
      <c r="I12" s="24" t="s">
        <v>22</v>
      </c>
    </row>
    <row r="13" spans="1:15" x14ac:dyDescent="0.2">
      <c r="C13" s="1" t="s">
        <v>23</v>
      </c>
      <c r="D13" s="22"/>
      <c r="E13" s="22">
        <v>331</v>
      </c>
      <c r="F13" s="22">
        <f>+E13*(1+$L$14)</f>
        <v>350.86</v>
      </c>
      <c r="G13" s="22">
        <f t="shared" ref="G13:I13" si="0">+F13*(1+$L$14)</f>
        <v>371.91160000000002</v>
      </c>
      <c r="H13" s="22">
        <f t="shared" si="0"/>
        <v>394.22629600000005</v>
      </c>
      <c r="I13" s="22">
        <f t="shared" si="0"/>
        <v>417.87987376000007</v>
      </c>
      <c r="K13" s="1" t="s">
        <v>31</v>
      </c>
      <c r="L13" s="18">
        <v>0.35</v>
      </c>
    </row>
    <row r="14" spans="1:15" ht="13.5" thickBot="1" x14ac:dyDescent="0.25">
      <c r="C14" s="17" t="s">
        <v>24</v>
      </c>
      <c r="D14" s="23"/>
      <c r="E14" s="23">
        <f>+E13*$L$15</f>
        <v>56.27</v>
      </c>
      <c r="F14" s="23">
        <f t="shared" ref="F14:I14" si="1">+F13*$L$15</f>
        <v>59.646200000000007</v>
      </c>
      <c r="G14" s="23">
        <f t="shared" si="1"/>
        <v>63.224972000000008</v>
      </c>
      <c r="H14" s="23">
        <f t="shared" si="1"/>
        <v>67.018470320000006</v>
      </c>
      <c r="I14" s="23">
        <f t="shared" si="1"/>
        <v>71.039578539200022</v>
      </c>
      <c r="K14" s="1" t="s">
        <v>33</v>
      </c>
      <c r="L14" s="38">
        <v>0.06</v>
      </c>
    </row>
    <row r="15" spans="1:15" ht="13.5" thickTop="1" x14ac:dyDescent="0.2">
      <c r="C15" s="1" t="s">
        <v>25</v>
      </c>
      <c r="D15" s="22"/>
      <c r="E15" s="22">
        <f>+E13-E14</f>
        <v>274.73</v>
      </c>
      <c r="F15" s="22">
        <f t="shared" ref="F15:I15" si="2">+F13-F14</f>
        <v>291.21379999999999</v>
      </c>
      <c r="G15" s="22">
        <f t="shared" si="2"/>
        <v>308.68662800000004</v>
      </c>
      <c r="H15" s="22">
        <f t="shared" si="2"/>
        <v>327.20782568000004</v>
      </c>
      <c r="I15" s="22">
        <f t="shared" si="2"/>
        <v>346.84029522080004</v>
      </c>
      <c r="K15" s="1" t="s">
        <v>24</v>
      </c>
      <c r="L15" s="18">
        <v>0.17</v>
      </c>
    </row>
    <row r="16" spans="1:15" x14ac:dyDescent="0.2">
      <c r="C16" s="1" t="s">
        <v>26</v>
      </c>
      <c r="D16" s="22"/>
      <c r="E16" s="22">
        <v>115</v>
      </c>
      <c r="F16" s="22">
        <f>+E16*(1+$L$16)</f>
        <v>121.9</v>
      </c>
      <c r="G16" s="22">
        <f t="shared" ref="G16:I16" si="3">+F16*(1+$L$16)</f>
        <v>129.214</v>
      </c>
      <c r="H16" s="22">
        <f t="shared" si="3"/>
        <v>136.96684000000002</v>
      </c>
      <c r="I16" s="22">
        <f t="shared" si="3"/>
        <v>145.18485040000002</v>
      </c>
      <c r="K16" s="1" t="s">
        <v>26</v>
      </c>
      <c r="L16" s="18">
        <v>0.06</v>
      </c>
    </row>
    <row r="17" spans="2:16" ht="13.5" thickBot="1" x14ac:dyDescent="0.25">
      <c r="C17" s="17" t="s">
        <v>27</v>
      </c>
      <c r="D17" s="23"/>
      <c r="E17" s="23">
        <f>+$M$17*$L$17</f>
        <v>72</v>
      </c>
      <c r="F17" s="23">
        <f t="shared" ref="F17:I17" si="4">+$M$17*$L$17</f>
        <v>72</v>
      </c>
      <c r="G17" s="23">
        <f t="shared" si="4"/>
        <v>72</v>
      </c>
      <c r="H17" s="23">
        <f t="shared" si="4"/>
        <v>72</v>
      </c>
      <c r="I17" s="23">
        <f t="shared" si="4"/>
        <v>72</v>
      </c>
      <c r="K17" s="1" t="s">
        <v>34</v>
      </c>
      <c r="L17" s="18">
        <v>0.06</v>
      </c>
      <c r="M17" s="19">
        <v>1200</v>
      </c>
    </row>
    <row r="18" spans="2:16" ht="13.5" thickTop="1" x14ac:dyDescent="0.2">
      <c r="C18" s="1" t="s">
        <v>28</v>
      </c>
      <c r="D18" s="22"/>
      <c r="E18" s="22">
        <f>+E15-E16-E17</f>
        <v>87.730000000000018</v>
      </c>
      <c r="F18" s="22">
        <f t="shared" ref="F18:I18" si="5">+F15-F16-F17</f>
        <v>97.313799999999986</v>
      </c>
      <c r="G18" s="22">
        <f t="shared" si="5"/>
        <v>107.47262800000004</v>
      </c>
      <c r="H18" s="22">
        <f t="shared" si="5"/>
        <v>118.24098568000002</v>
      </c>
      <c r="I18" s="22">
        <f t="shared" si="5"/>
        <v>129.65544482080003</v>
      </c>
      <c r="K18" s="1" t="s">
        <v>29</v>
      </c>
      <c r="L18" s="40">
        <v>0.125</v>
      </c>
      <c r="M18" s="21">
        <f>+L18*(1-0.35)</f>
        <v>8.1250000000000003E-2</v>
      </c>
    </row>
    <row r="19" spans="2:16" ht="13.5" thickBot="1" x14ac:dyDescent="0.25">
      <c r="C19" s="17" t="s">
        <v>29</v>
      </c>
      <c r="D19" s="23"/>
      <c r="E19" s="23">
        <f>+$L$18*E38</f>
        <v>53.375</v>
      </c>
      <c r="F19" s="23">
        <f t="shared" ref="F19:I19" si="6">+$L$18*F38</f>
        <v>48.875</v>
      </c>
      <c r="G19" s="23">
        <f t="shared" si="6"/>
        <v>44.375</v>
      </c>
      <c r="H19" s="23">
        <f t="shared" si="6"/>
        <v>39.875</v>
      </c>
      <c r="I19" s="23">
        <f t="shared" si="6"/>
        <v>35.375</v>
      </c>
    </row>
    <row r="20" spans="2:16" ht="13.5" thickTop="1" x14ac:dyDescent="0.2">
      <c r="C20" s="1" t="s">
        <v>30</v>
      </c>
      <c r="D20" s="22"/>
      <c r="E20" s="22">
        <f>+E18-E19</f>
        <v>34.355000000000018</v>
      </c>
      <c r="F20" s="22">
        <f t="shared" ref="F20:I20" si="7">+F18-F19</f>
        <v>48.438799999999986</v>
      </c>
      <c r="G20" s="22">
        <f t="shared" si="7"/>
        <v>63.097628000000043</v>
      </c>
      <c r="H20" s="22">
        <f t="shared" si="7"/>
        <v>78.365985680000023</v>
      </c>
      <c r="I20" s="22">
        <f t="shared" si="7"/>
        <v>94.280444820800028</v>
      </c>
    </row>
    <row r="21" spans="2:16" ht="13.5" thickBot="1" x14ac:dyDescent="0.25">
      <c r="C21" s="17" t="s">
        <v>31</v>
      </c>
      <c r="D21" s="23"/>
      <c r="E21" s="23">
        <f>+E20*$L$13</f>
        <v>12.024250000000006</v>
      </c>
      <c r="F21" s="23">
        <f t="shared" ref="F21:I21" si="8">+F20*$L$13</f>
        <v>16.953579999999995</v>
      </c>
      <c r="G21" s="23">
        <f t="shared" si="8"/>
        <v>22.084169800000012</v>
      </c>
      <c r="H21" s="23">
        <f t="shared" si="8"/>
        <v>27.428094988000005</v>
      </c>
      <c r="I21" s="23">
        <f t="shared" si="8"/>
        <v>32.998155687280011</v>
      </c>
    </row>
    <row r="22" spans="2:16" ht="13.5" thickTop="1" x14ac:dyDescent="0.2">
      <c r="C22" s="1" t="s">
        <v>32</v>
      </c>
      <c r="D22" s="22"/>
      <c r="E22" s="22">
        <f>+E20-E21</f>
        <v>22.330750000000013</v>
      </c>
      <c r="F22" s="22">
        <f t="shared" ref="F22:I22" si="9">+F20-F21</f>
        <v>31.485219999999991</v>
      </c>
      <c r="G22" s="22">
        <f t="shared" si="9"/>
        <v>41.013458200000031</v>
      </c>
      <c r="H22" s="22">
        <f t="shared" si="9"/>
        <v>50.937890692000018</v>
      </c>
      <c r="I22" s="22">
        <f t="shared" si="9"/>
        <v>61.282289133520017</v>
      </c>
    </row>
    <row r="23" spans="2:16" x14ac:dyDescent="0.2">
      <c r="E23" s="1" t="s">
        <v>2</v>
      </c>
      <c r="F23" s="1" t="s">
        <v>2</v>
      </c>
      <c r="G23" s="1" t="s">
        <v>2</v>
      </c>
      <c r="H23" s="1" t="s">
        <v>2</v>
      </c>
      <c r="I23" s="1" t="s">
        <v>2</v>
      </c>
      <c r="J23" s="1" t="s">
        <v>2</v>
      </c>
    </row>
    <row r="24" spans="2:16" x14ac:dyDescent="0.2">
      <c r="E24" s="42"/>
      <c r="F24" s="42"/>
      <c r="G24" s="42"/>
      <c r="H24" s="42"/>
      <c r="I24" s="42"/>
    </row>
    <row r="26" spans="2:16" ht="13.5" customHeight="1" x14ac:dyDescent="0.2">
      <c r="B26" s="10" t="s">
        <v>35</v>
      </c>
      <c r="C26" s="5"/>
      <c r="D26" s="5"/>
      <c r="E26" s="5"/>
      <c r="F26" s="5"/>
      <c r="G26" s="5"/>
      <c r="H26" s="5"/>
    </row>
    <row r="29" spans="2:16" x14ac:dyDescent="0.2">
      <c r="C29" s="5"/>
      <c r="D29" s="24" t="s">
        <v>36</v>
      </c>
      <c r="E29" s="24" t="s">
        <v>18</v>
      </c>
      <c r="F29" s="24" t="s">
        <v>19</v>
      </c>
      <c r="G29" s="24" t="s">
        <v>20</v>
      </c>
      <c r="H29" s="24" t="s">
        <v>21</v>
      </c>
      <c r="I29" s="24" t="s">
        <v>22</v>
      </c>
      <c r="L29" s="24" t="s">
        <v>18</v>
      </c>
      <c r="M29" s="24" t="s">
        <v>19</v>
      </c>
      <c r="N29" s="24" t="s">
        <v>20</v>
      </c>
      <c r="O29" s="24" t="s">
        <v>21</v>
      </c>
      <c r="P29" s="24" t="s">
        <v>22</v>
      </c>
    </row>
    <row r="30" spans="2:16" x14ac:dyDescent="0.2">
      <c r="C30" s="25" t="s">
        <v>37</v>
      </c>
      <c r="D30" s="26"/>
      <c r="E30" s="26" t="s">
        <v>2</v>
      </c>
      <c r="F30" s="26" t="s">
        <v>2</v>
      </c>
      <c r="G30" s="26" t="s">
        <v>2</v>
      </c>
      <c r="H30" s="26" t="s">
        <v>2</v>
      </c>
      <c r="I30" s="26" t="s">
        <v>2</v>
      </c>
    </row>
    <row r="31" spans="2:16" x14ac:dyDescent="0.2">
      <c r="C31" s="1" t="s">
        <v>38</v>
      </c>
      <c r="D31" s="1">
        <v>17</v>
      </c>
      <c r="E31" s="1">
        <v>112</v>
      </c>
      <c r="F31" s="1">
        <v>183</v>
      </c>
      <c r="G31" s="1">
        <v>264</v>
      </c>
      <c r="H31" s="1">
        <v>354</v>
      </c>
      <c r="I31" s="1">
        <v>457</v>
      </c>
    </row>
    <row r="32" spans="2:16" x14ac:dyDescent="0.2">
      <c r="C32" s="1" t="s">
        <v>39</v>
      </c>
      <c r="D32" s="1">
        <v>0</v>
      </c>
      <c r="E32" s="1">
        <f>+L32*E13/365</f>
        <v>27</v>
      </c>
      <c r="F32" s="1">
        <f t="shared" ref="F32:I33" si="10">+M32*F13/365</f>
        <v>29</v>
      </c>
      <c r="G32" s="1">
        <f t="shared" si="10"/>
        <v>31</v>
      </c>
      <c r="H32" s="1">
        <f t="shared" si="10"/>
        <v>32</v>
      </c>
      <c r="I32" s="1">
        <f t="shared" si="10"/>
        <v>34</v>
      </c>
      <c r="K32" s="1" t="s">
        <v>80</v>
      </c>
      <c r="L32" s="39">
        <v>29.773413897280967</v>
      </c>
      <c r="M32" s="39">
        <v>30.168728267685115</v>
      </c>
      <c r="N32" s="39">
        <v>30.423896431302492</v>
      </c>
      <c r="O32" s="39">
        <v>29.627653250203277</v>
      </c>
      <c r="P32" s="39">
        <v>29.697529790887717</v>
      </c>
    </row>
    <row r="33" spans="2:16" x14ac:dyDescent="0.2">
      <c r="C33" s="1" t="s">
        <v>40</v>
      </c>
      <c r="D33" s="1">
        <v>15</v>
      </c>
      <c r="E33" s="1">
        <f>+L33*E14/365</f>
        <v>13</v>
      </c>
      <c r="F33" s="1">
        <f t="shared" si="10"/>
        <v>14</v>
      </c>
      <c r="G33" s="1">
        <f t="shared" si="10"/>
        <v>15</v>
      </c>
      <c r="H33" s="1">
        <f t="shared" si="10"/>
        <v>16</v>
      </c>
      <c r="I33" s="1">
        <f t="shared" si="10"/>
        <v>17</v>
      </c>
      <c r="K33" s="1" t="s">
        <v>81</v>
      </c>
      <c r="L33" s="39">
        <v>84.325573129553931</v>
      </c>
      <c r="M33" s="39">
        <v>85.671844979227501</v>
      </c>
      <c r="N33" s="39">
        <v>86.595530639380897</v>
      </c>
      <c r="O33" s="39">
        <v>87.14015661824493</v>
      </c>
      <c r="P33" s="39">
        <v>87.345675855552088</v>
      </c>
    </row>
    <row r="34" spans="2:16" x14ac:dyDescent="0.2">
      <c r="C34" s="5" t="s">
        <v>41</v>
      </c>
      <c r="D34" s="5">
        <v>1200</v>
      </c>
      <c r="E34" s="5">
        <v>1128</v>
      </c>
      <c r="F34" s="5">
        <v>1056</v>
      </c>
      <c r="G34" s="5">
        <v>984</v>
      </c>
      <c r="H34" s="5">
        <v>912</v>
      </c>
      <c r="I34" s="5">
        <v>840</v>
      </c>
    </row>
    <row r="35" spans="2:16" x14ac:dyDescent="0.2">
      <c r="C35" s="25" t="s">
        <v>42</v>
      </c>
      <c r="D35" s="25">
        <f>+SUM(D31:D34)</f>
        <v>1232</v>
      </c>
      <c r="E35" s="25">
        <f t="shared" ref="E35:I35" si="11">+SUM(E31:E34)</f>
        <v>1280</v>
      </c>
      <c r="F35" s="25">
        <f t="shared" si="11"/>
        <v>1282</v>
      </c>
      <c r="G35" s="25">
        <f t="shared" si="11"/>
        <v>1294</v>
      </c>
      <c r="H35" s="25">
        <f t="shared" si="11"/>
        <v>1314</v>
      </c>
      <c r="I35" s="25">
        <f t="shared" si="11"/>
        <v>1348</v>
      </c>
    </row>
    <row r="36" spans="2:16" x14ac:dyDescent="0.2">
      <c r="C36" s="25" t="s">
        <v>43</v>
      </c>
      <c r="D36" s="25"/>
      <c r="E36" s="25"/>
      <c r="F36" s="25"/>
      <c r="G36" s="25"/>
      <c r="H36" s="25"/>
      <c r="I36" s="25"/>
    </row>
    <row r="37" spans="2:16" x14ac:dyDescent="0.2">
      <c r="C37" s="1" t="s">
        <v>59</v>
      </c>
      <c r="D37" s="1">
        <v>0</v>
      </c>
      <c r="E37" s="1">
        <f>+L37*E14/365</f>
        <v>25</v>
      </c>
      <c r="F37" s="1">
        <f t="shared" ref="F37:I37" si="12">+M37*F14/365</f>
        <v>32</v>
      </c>
      <c r="G37" s="1">
        <f t="shared" si="12"/>
        <v>38</v>
      </c>
      <c r="H37" s="1">
        <f t="shared" si="12"/>
        <v>44</v>
      </c>
      <c r="I37" s="1">
        <f t="shared" si="12"/>
        <v>51</v>
      </c>
      <c r="K37" s="1" t="s">
        <v>82</v>
      </c>
      <c r="L37" s="39">
        <v>162.16456371068062</v>
      </c>
      <c r="M37" s="39">
        <v>195.82135995252</v>
      </c>
      <c r="N37" s="39">
        <v>219.37534428643161</v>
      </c>
      <c r="O37" s="39">
        <v>239.63543070017357</v>
      </c>
      <c r="P37" s="39">
        <v>262.03702756665626</v>
      </c>
    </row>
    <row r="38" spans="2:16" x14ac:dyDescent="0.2">
      <c r="C38" s="1" t="s">
        <v>44</v>
      </c>
      <c r="D38" s="1">
        <v>427</v>
      </c>
      <c r="E38" s="1">
        <v>427</v>
      </c>
      <c r="F38" s="1">
        <v>391</v>
      </c>
      <c r="G38" s="1">
        <v>355</v>
      </c>
      <c r="H38" s="1">
        <v>319</v>
      </c>
      <c r="I38" s="1">
        <v>283</v>
      </c>
      <c r="K38" s="1" t="s">
        <v>2</v>
      </c>
    </row>
    <row r="39" spans="2:16" x14ac:dyDescent="0.2">
      <c r="C39" s="1" t="s">
        <v>45</v>
      </c>
      <c r="D39" s="1">
        <v>805</v>
      </c>
      <c r="E39" s="1">
        <v>805</v>
      </c>
      <c r="F39" s="1">
        <v>828</v>
      </c>
      <c r="G39" s="1">
        <v>859</v>
      </c>
      <c r="H39" s="1">
        <v>901</v>
      </c>
      <c r="I39" s="1">
        <v>952</v>
      </c>
    </row>
    <row r="40" spans="2:16" x14ac:dyDescent="0.2">
      <c r="C40" s="5" t="s">
        <v>46</v>
      </c>
      <c r="D40" s="5">
        <v>0</v>
      </c>
      <c r="E40" s="5">
        <v>23</v>
      </c>
      <c r="F40" s="5">
        <v>31</v>
      </c>
      <c r="G40" s="5">
        <v>42</v>
      </c>
      <c r="H40" s="5">
        <v>51</v>
      </c>
      <c r="I40" s="5">
        <v>62</v>
      </c>
    </row>
    <row r="41" spans="2:16" x14ac:dyDescent="0.2">
      <c r="C41" s="25" t="s">
        <v>42</v>
      </c>
      <c r="D41" s="25">
        <f>+SUM(D37:D40)</f>
        <v>1232</v>
      </c>
      <c r="E41" s="25">
        <f t="shared" ref="E41:I41" si="13">+SUM(E37:E40)</f>
        <v>1280</v>
      </c>
      <c r="F41" s="25">
        <f t="shared" si="13"/>
        <v>1282</v>
      </c>
      <c r="G41" s="25">
        <f t="shared" si="13"/>
        <v>1294</v>
      </c>
      <c r="H41" s="25">
        <f t="shared" si="13"/>
        <v>1315</v>
      </c>
      <c r="I41" s="25">
        <f t="shared" si="13"/>
        <v>1348</v>
      </c>
    </row>
    <row r="46" spans="2:16" ht="13.5" customHeight="1" x14ac:dyDescent="0.2">
      <c r="B46" s="10" t="s">
        <v>47</v>
      </c>
      <c r="C46" s="5"/>
      <c r="D46" s="5"/>
      <c r="E46" s="5"/>
      <c r="F46" s="5"/>
      <c r="G46" s="5"/>
      <c r="H46" s="5"/>
    </row>
    <row r="49" spans="2:9" x14ac:dyDescent="0.2">
      <c r="C49" s="5"/>
      <c r="D49" s="24"/>
      <c r="E49" s="24" t="s">
        <v>18</v>
      </c>
      <c r="F49" s="24" t="s">
        <v>19</v>
      </c>
      <c r="G49" s="24" t="s">
        <v>20</v>
      </c>
      <c r="H49" s="24" t="s">
        <v>21</v>
      </c>
      <c r="I49" s="24" t="s">
        <v>22</v>
      </c>
    </row>
    <row r="50" spans="2:9" x14ac:dyDescent="0.2">
      <c r="C50" s="1" t="s">
        <v>48</v>
      </c>
      <c r="D50" s="22"/>
      <c r="E50" s="22">
        <f>+E18</f>
        <v>87.730000000000018</v>
      </c>
      <c r="F50" s="22">
        <f>+F18</f>
        <v>97.313799999999986</v>
      </c>
      <c r="G50" s="22">
        <f>+G18</f>
        <v>107.47262800000004</v>
      </c>
      <c r="H50" s="22">
        <f>+H18</f>
        <v>118.24098568000002</v>
      </c>
      <c r="I50" s="22">
        <f>+I18</f>
        <v>129.65544482080003</v>
      </c>
    </row>
    <row r="51" spans="2:9" ht="13.5" thickBot="1" x14ac:dyDescent="0.25">
      <c r="C51" s="17" t="s">
        <v>49</v>
      </c>
      <c r="D51" s="23"/>
      <c r="E51" s="23">
        <f>+E35</f>
        <v>1280</v>
      </c>
      <c r="F51" s="23">
        <f>+F35</f>
        <v>1282</v>
      </c>
      <c r="G51" s="23">
        <f>+G35</f>
        <v>1294</v>
      </c>
      <c r="H51" s="23">
        <f>+H35</f>
        <v>1314</v>
      </c>
      <c r="I51" s="23">
        <f>+I35</f>
        <v>1348</v>
      </c>
    </row>
    <row r="52" spans="2:9" ht="13.5" thickTop="1" x14ac:dyDescent="0.2">
      <c r="C52" s="1" t="s">
        <v>50</v>
      </c>
      <c r="D52" s="22"/>
      <c r="E52" s="20">
        <f>+E50/E51</f>
        <v>6.8539062500000011E-2</v>
      </c>
      <c r="F52" s="20">
        <f t="shared" ref="F52:I52" si="14">+F50/F51</f>
        <v>7.5907800312012469E-2</v>
      </c>
      <c r="G52" s="20">
        <f t="shared" si="14"/>
        <v>8.3054581143740369E-2</v>
      </c>
      <c r="H52" s="20">
        <f t="shared" si="14"/>
        <v>8.9985529436834105E-2</v>
      </c>
      <c r="I52" s="20">
        <f t="shared" si="14"/>
        <v>9.6183564407121683E-2</v>
      </c>
    </row>
    <row r="53" spans="2:9" x14ac:dyDescent="0.2">
      <c r="C53" s="1" t="s">
        <v>51</v>
      </c>
      <c r="E53" s="27">
        <f>+AVERAGE(E52:I52)</f>
        <v>8.2734107559941719E-2</v>
      </c>
    </row>
    <row r="57" spans="2:9" ht="13.5" customHeight="1" x14ac:dyDescent="0.2">
      <c r="B57" s="10" t="s">
        <v>52</v>
      </c>
      <c r="C57" s="5"/>
      <c r="D57" s="5"/>
      <c r="E57" s="5"/>
      <c r="F57" s="5"/>
      <c r="G57" s="5"/>
      <c r="H57" s="5"/>
    </row>
    <row r="60" spans="2:9" x14ac:dyDescent="0.2">
      <c r="C60" s="5"/>
      <c r="D60" s="24"/>
      <c r="E60" s="24" t="s">
        <v>18</v>
      </c>
      <c r="F60" s="24" t="s">
        <v>19</v>
      </c>
      <c r="G60" s="24" t="s">
        <v>20</v>
      </c>
      <c r="H60" s="24" t="s">
        <v>21</v>
      </c>
      <c r="I60" s="24" t="s">
        <v>22</v>
      </c>
    </row>
    <row r="61" spans="2:9" x14ac:dyDescent="0.2">
      <c r="C61" s="1" t="s">
        <v>32</v>
      </c>
      <c r="D61" s="22"/>
      <c r="E61" s="22">
        <f>+E22</f>
        <v>22.330750000000013</v>
      </c>
      <c r="F61" s="22">
        <f>+F22</f>
        <v>31.485219999999991</v>
      </c>
      <c r="G61" s="22">
        <f>+G22</f>
        <v>41.013458200000031</v>
      </c>
      <c r="H61" s="22">
        <f>+H22</f>
        <v>50.937890692000018</v>
      </c>
      <c r="I61" s="22">
        <f>+I22</f>
        <v>61.282289133520017</v>
      </c>
    </row>
    <row r="62" spans="2:9" ht="13.5" thickBot="1" x14ac:dyDescent="0.25">
      <c r="C62" s="17" t="s">
        <v>53</v>
      </c>
      <c r="D62" s="23"/>
      <c r="E62" s="23">
        <f>+E39+E40</f>
        <v>828</v>
      </c>
      <c r="F62" s="23">
        <f>+F39+F40</f>
        <v>859</v>
      </c>
      <c r="G62" s="23">
        <f>+G39+G40</f>
        <v>901</v>
      </c>
      <c r="H62" s="23">
        <f>+H39+H40</f>
        <v>952</v>
      </c>
      <c r="I62" s="23">
        <f>+I39+I40</f>
        <v>1014</v>
      </c>
    </row>
    <row r="63" spans="2:9" ht="13.5" thickTop="1" x14ac:dyDescent="0.2">
      <c r="C63" s="1" t="s">
        <v>54</v>
      </c>
      <c r="D63" s="22"/>
      <c r="E63" s="20">
        <f>+E61/E62</f>
        <v>2.6969504830917888E-2</v>
      </c>
      <c r="F63" s="20">
        <f t="shared" ref="F63:I63" si="15">+F61/F62</f>
        <v>3.6653341094295681E-2</v>
      </c>
      <c r="G63" s="20">
        <f t="shared" si="15"/>
        <v>4.5519931409544981E-2</v>
      </c>
      <c r="H63" s="20">
        <f t="shared" si="15"/>
        <v>5.3506187701680689E-2</v>
      </c>
      <c r="I63" s="20">
        <f t="shared" si="15"/>
        <v>6.0436182577435917E-2</v>
      </c>
    </row>
    <row r="64" spans="2:9" x14ac:dyDescent="0.2">
      <c r="C64" s="1" t="s">
        <v>55</v>
      </c>
      <c r="E64" s="27">
        <f>+AVERAGE(E63:I63)</f>
        <v>4.4617029522775034E-2</v>
      </c>
    </row>
    <row r="68" spans="2:9" ht="13.5" customHeight="1" x14ac:dyDescent="0.2">
      <c r="B68" s="10" t="s">
        <v>56</v>
      </c>
      <c r="C68" s="5"/>
      <c r="D68" s="5"/>
      <c r="E68" s="5"/>
      <c r="F68" s="5"/>
      <c r="G68" s="5"/>
      <c r="H68" s="5"/>
    </row>
    <row r="71" spans="2:9" x14ac:dyDescent="0.2">
      <c r="C71" s="5"/>
      <c r="D71" s="24" t="s">
        <v>36</v>
      </c>
      <c r="E71" s="24" t="s">
        <v>18</v>
      </c>
      <c r="F71" s="24" t="s">
        <v>19</v>
      </c>
      <c r="G71" s="24" t="s">
        <v>20</v>
      </c>
      <c r="H71" s="24" t="s">
        <v>21</v>
      </c>
      <c r="I71" s="24" t="s">
        <v>22</v>
      </c>
    </row>
    <row r="72" spans="2:9" x14ac:dyDescent="0.2">
      <c r="C72" s="1" t="s">
        <v>57</v>
      </c>
      <c r="D72" s="22">
        <f>-D35</f>
        <v>-1232</v>
      </c>
      <c r="E72" s="22" t="s">
        <v>2</v>
      </c>
      <c r="F72" s="22" t="s">
        <v>2</v>
      </c>
      <c r="G72" s="22" t="s">
        <v>2</v>
      </c>
      <c r="H72" s="22" t="s">
        <v>2</v>
      </c>
      <c r="I72" s="22" t="s">
        <v>2</v>
      </c>
    </row>
    <row r="73" spans="2:9" x14ac:dyDescent="0.2">
      <c r="C73" s="1" t="s">
        <v>48</v>
      </c>
      <c r="E73" s="22">
        <f>+E18</f>
        <v>87.730000000000018</v>
      </c>
      <c r="F73" s="22">
        <f>+F18</f>
        <v>97.313799999999986</v>
      </c>
      <c r="G73" s="22">
        <f>+G18</f>
        <v>107.47262800000004</v>
      </c>
      <c r="H73" s="22">
        <f>+H18</f>
        <v>118.24098568000002</v>
      </c>
      <c r="I73" s="22">
        <f>+I18</f>
        <v>129.65544482080003</v>
      </c>
    </row>
    <row r="74" spans="2:9" x14ac:dyDescent="0.2">
      <c r="C74" s="1" t="s">
        <v>27</v>
      </c>
      <c r="E74" s="22">
        <f>+E17</f>
        <v>72</v>
      </c>
      <c r="F74" s="22">
        <f>+F17</f>
        <v>72</v>
      </c>
      <c r="G74" s="22">
        <f>+G17</f>
        <v>72</v>
      </c>
      <c r="H74" s="22">
        <f>+H17</f>
        <v>72</v>
      </c>
      <c r="I74" s="22">
        <f>+I17</f>
        <v>72</v>
      </c>
    </row>
    <row r="75" spans="2:9" ht="13.5" thickBot="1" x14ac:dyDescent="0.25">
      <c r="C75" s="17" t="s">
        <v>58</v>
      </c>
      <c r="D75" s="17"/>
      <c r="E75" s="17"/>
      <c r="F75" s="17"/>
      <c r="G75" s="17"/>
      <c r="H75" s="17"/>
      <c r="I75" s="17">
        <f>+I40+I39</f>
        <v>1014</v>
      </c>
    </row>
    <row r="76" spans="2:9" ht="13.5" thickTop="1" x14ac:dyDescent="0.2">
      <c r="C76" s="1" t="s">
        <v>5</v>
      </c>
      <c r="D76" s="22">
        <f>+SUM(D72:D75)</f>
        <v>-1232</v>
      </c>
      <c r="E76" s="22">
        <f t="shared" ref="E76:I76" si="16">+SUM(E72:E75)</f>
        <v>159.73000000000002</v>
      </c>
      <c r="F76" s="22">
        <f t="shared" si="16"/>
        <v>169.31379999999999</v>
      </c>
      <c r="G76" s="22">
        <f t="shared" si="16"/>
        <v>179.47262800000004</v>
      </c>
      <c r="H76" s="22">
        <f t="shared" si="16"/>
        <v>190.24098568000002</v>
      </c>
      <c r="I76" s="22">
        <f t="shared" si="16"/>
        <v>1215.6554448208001</v>
      </c>
    </row>
    <row r="77" spans="2:9" x14ac:dyDescent="0.2">
      <c r="C77" s="1" t="s">
        <v>60</v>
      </c>
      <c r="D77" s="27">
        <f>+IRR(D76:I76)</f>
        <v>0.1162526073623793</v>
      </c>
    </row>
    <row r="81" spans="2:14" ht="13.5" customHeight="1" x14ac:dyDescent="0.2">
      <c r="B81" s="10" t="s">
        <v>61</v>
      </c>
      <c r="C81" s="5"/>
      <c r="D81" s="5"/>
      <c r="E81" s="5"/>
      <c r="F81" s="5"/>
      <c r="G81" s="5"/>
      <c r="H81" s="5"/>
    </row>
    <row r="83" spans="2:14" x14ac:dyDescent="0.2">
      <c r="C83" s="5"/>
      <c r="D83" s="24"/>
      <c r="E83" s="24" t="s">
        <v>18</v>
      </c>
      <c r="F83" s="24" t="s">
        <v>19</v>
      </c>
      <c r="G83" s="24" t="s">
        <v>20</v>
      </c>
      <c r="H83" s="24" t="s">
        <v>21</v>
      </c>
      <c r="I83" s="24" t="s">
        <v>22</v>
      </c>
    </row>
    <row r="84" spans="2:14" x14ac:dyDescent="0.2">
      <c r="C84" s="1" t="s">
        <v>32</v>
      </c>
      <c r="D84" s="22"/>
      <c r="E84" s="28">
        <f>+E22</f>
        <v>22.330750000000013</v>
      </c>
      <c r="F84" s="28">
        <f>+F22</f>
        <v>31.485219999999991</v>
      </c>
      <c r="G84" s="28">
        <f>+G22</f>
        <v>41.013458200000031</v>
      </c>
      <c r="H84" s="28">
        <f>+H22</f>
        <v>50.937890692000018</v>
      </c>
      <c r="I84" s="28">
        <f>+I22</f>
        <v>61.282289133520017</v>
      </c>
    </row>
    <row r="85" spans="2:14" ht="13.5" thickBot="1" x14ac:dyDescent="0.25">
      <c r="C85" s="17" t="s">
        <v>29</v>
      </c>
      <c r="D85" s="23"/>
      <c r="E85" s="29">
        <f>+E19</f>
        <v>53.375</v>
      </c>
      <c r="F85" s="29">
        <f>+F19</f>
        <v>48.875</v>
      </c>
      <c r="G85" s="29">
        <f>+G19</f>
        <v>44.375</v>
      </c>
      <c r="H85" s="29">
        <f>+H19</f>
        <v>39.875</v>
      </c>
      <c r="I85" s="29">
        <f>+I19</f>
        <v>35.375</v>
      </c>
    </row>
    <row r="86" spans="2:14" ht="13.5" thickTop="1" x14ac:dyDescent="0.2">
      <c r="C86" s="1" t="s">
        <v>62</v>
      </c>
      <c r="D86" s="22"/>
      <c r="E86" s="28">
        <f>+E84+E85</f>
        <v>75.705750000000009</v>
      </c>
      <c r="F86" s="28">
        <f t="shared" ref="F86:I86" si="17">+F84+F85</f>
        <v>80.360219999999998</v>
      </c>
      <c r="G86" s="28">
        <f t="shared" si="17"/>
        <v>85.388458200000031</v>
      </c>
      <c r="H86" s="28">
        <f t="shared" si="17"/>
        <v>90.812890692000025</v>
      </c>
      <c r="I86" s="28">
        <f t="shared" si="17"/>
        <v>96.65728913352001</v>
      </c>
    </row>
    <row r="89" spans="2:14" x14ac:dyDescent="0.2">
      <c r="C89" s="5"/>
      <c r="D89" s="24"/>
      <c r="E89" s="24" t="s">
        <v>18</v>
      </c>
      <c r="F89" s="24" t="s">
        <v>19</v>
      </c>
      <c r="G89" s="24" t="s">
        <v>20</v>
      </c>
      <c r="H89" s="24" t="s">
        <v>21</v>
      </c>
      <c r="I89" s="24" t="s">
        <v>22</v>
      </c>
    </row>
    <row r="90" spans="2:14" x14ac:dyDescent="0.2">
      <c r="C90" s="1" t="s">
        <v>63</v>
      </c>
      <c r="D90" s="22"/>
      <c r="E90" s="28">
        <f>+E35</f>
        <v>1280</v>
      </c>
      <c r="F90" s="28">
        <f>+F35</f>
        <v>1282</v>
      </c>
      <c r="G90" s="28">
        <f>+G35</f>
        <v>1294</v>
      </c>
      <c r="H90" s="28">
        <f>+H35</f>
        <v>1314</v>
      </c>
      <c r="I90" s="28">
        <f>+I35</f>
        <v>1348</v>
      </c>
    </row>
    <row r="91" spans="2:14" ht="13.5" thickBot="1" x14ac:dyDescent="0.25">
      <c r="C91" s="17" t="s">
        <v>64</v>
      </c>
      <c r="D91" s="23"/>
      <c r="E91" s="29">
        <f>+E37</f>
        <v>25</v>
      </c>
      <c r="F91" s="29">
        <f>+F37</f>
        <v>32</v>
      </c>
      <c r="G91" s="29">
        <f>+G37</f>
        <v>38</v>
      </c>
      <c r="H91" s="29">
        <f>+H37</f>
        <v>44</v>
      </c>
      <c r="I91" s="29">
        <f>+I37</f>
        <v>51</v>
      </c>
    </row>
    <row r="92" spans="2:14" ht="13.5" thickTop="1" x14ac:dyDescent="0.2">
      <c r="C92" s="1" t="s">
        <v>65</v>
      </c>
      <c r="D92" s="22"/>
      <c r="E92" s="28">
        <f>+E90-E91</f>
        <v>1255</v>
      </c>
      <c r="F92" s="28">
        <f t="shared" ref="F92:I92" si="18">+F90-F91</f>
        <v>1250</v>
      </c>
      <c r="G92" s="28">
        <f t="shared" si="18"/>
        <v>1256</v>
      </c>
      <c r="H92" s="28">
        <f t="shared" si="18"/>
        <v>1270</v>
      </c>
      <c r="I92" s="28">
        <f t="shared" si="18"/>
        <v>1297</v>
      </c>
    </row>
    <row r="95" spans="2:14" x14ac:dyDescent="0.2">
      <c r="C95" s="5"/>
      <c r="D95" s="24" t="s">
        <v>67</v>
      </c>
      <c r="E95" s="24" t="s">
        <v>18</v>
      </c>
      <c r="F95" s="24" t="s">
        <v>18</v>
      </c>
      <c r="G95" s="24" t="s">
        <v>19</v>
      </c>
      <c r="H95" s="24" t="s">
        <v>19</v>
      </c>
      <c r="I95" s="24" t="s">
        <v>20</v>
      </c>
      <c r="J95" s="24" t="s">
        <v>20</v>
      </c>
      <c r="K95" s="24" t="s">
        <v>21</v>
      </c>
      <c r="L95" s="24" t="s">
        <v>21</v>
      </c>
      <c r="M95" s="24" t="s">
        <v>22</v>
      </c>
      <c r="N95" s="24" t="s">
        <v>22</v>
      </c>
    </row>
    <row r="96" spans="2:14" x14ac:dyDescent="0.2">
      <c r="C96" s="30" t="s">
        <v>53</v>
      </c>
      <c r="D96" s="31">
        <v>0.1</v>
      </c>
      <c r="E96" s="32">
        <f>+E40+E39</f>
        <v>828</v>
      </c>
      <c r="F96" s="33">
        <f>+E96/$E$98</f>
        <v>0.65976095617529884</v>
      </c>
      <c r="G96" s="32">
        <f>+F39+F40</f>
        <v>859</v>
      </c>
      <c r="H96" s="33">
        <f>+G96/$G$98</f>
        <v>0.68720000000000003</v>
      </c>
      <c r="I96" s="32">
        <f>+G39+G40</f>
        <v>901</v>
      </c>
      <c r="J96" s="33">
        <f>+I96/$I$98</f>
        <v>0.71735668789808915</v>
      </c>
      <c r="K96" s="32">
        <f>+H39+H40</f>
        <v>952</v>
      </c>
      <c r="L96" s="33">
        <f>+K96/$K$98</f>
        <v>0.74901652242328876</v>
      </c>
      <c r="M96" s="32">
        <f>+I39+I40</f>
        <v>1014</v>
      </c>
      <c r="N96" s="33">
        <f>+M96/$M$98</f>
        <v>0.78180416345412496</v>
      </c>
    </row>
    <row r="97" spans="3:14" x14ac:dyDescent="0.2">
      <c r="C97" s="30" t="s">
        <v>66</v>
      </c>
      <c r="D97" s="31">
        <f>+M18</f>
        <v>8.1250000000000003E-2</v>
      </c>
      <c r="E97" s="32">
        <f>+E38</f>
        <v>427</v>
      </c>
      <c r="F97" s="33">
        <f t="shared" ref="F97:F98" si="19">+E97/$E$98</f>
        <v>0.34023904382470121</v>
      </c>
      <c r="G97" s="32">
        <f>+F38</f>
        <v>391</v>
      </c>
      <c r="H97" s="33">
        <f t="shared" ref="H97:H98" si="20">+G97/$G$98</f>
        <v>0.31280000000000002</v>
      </c>
      <c r="I97" s="32">
        <f>+G38</f>
        <v>355</v>
      </c>
      <c r="J97" s="33">
        <f t="shared" ref="J97:J98" si="21">+I97/$I$98</f>
        <v>0.28264331210191085</v>
      </c>
      <c r="K97" s="32">
        <f>+H38</f>
        <v>319</v>
      </c>
      <c r="L97" s="33">
        <f t="shared" ref="L97:L98" si="22">+K97/$K$98</f>
        <v>0.25098347757671124</v>
      </c>
      <c r="M97" s="32">
        <f>+I38</f>
        <v>283</v>
      </c>
      <c r="N97" s="33">
        <f t="shared" ref="N97:N98" si="23">+M97/$M$98</f>
        <v>0.2181958365458751</v>
      </c>
    </row>
    <row r="98" spans="3:14" x14ac:dyDescent="0.2">
      <c r="C98" s="30" t="s">
        <v>42</v>
      </c>
      <c r="D98" s="34"/>
      <c r="E98" s="32">
        <f>+SUM(E96:E97)</f>
        <v>1255</v>
      </c>
      <c r="F98" s="33">
        <f t="shared" si="19"/>
        <v>1</v>
      </c>
      <c r="G98" s="32">
        <f t="shared" ref="G98:M98" si="24">+SUM(G96:G97)</f>
        <v>1250</v>
      </c>
      <c r="H98" s="33">
        <f t="shared" si="20"/>
        <v>1</v>
      </c>
      <c r="I98" s="32">
        <f t="shared" si="24"/>
        <v>1256</v>
      </c>
      <c r="J98" s="33">
        <f t="shared" si="21"/>
        <v>1</v>
      </c>
      <c r="K98" s="32">
        <f t="shared" si="24"/>
        <v>1271</v>
      </c>
      <c r="L98" s="33">
        <f t="shared" si="22"/>
        <v>1</v>
      </c>
      <c r="M98" s="32">
        <f t="shared" si="24"/>
        <v>1297</v>
      </c>
      <c r="N98" s="33">
        <f t="shared" si="23"/>
        <v>1</v>
      </c>
    </row>
    <row r="100" spans="3:14" x14ac:dyDescent="0.2">
      <c r="C100" s="30" t="s">
        <v>68</v>
      </c>
      <c r="D100" s="30"/>
      <c r="E100" s="30"/>
      <c r="F100" s="35">
        <f>+$D$96*F96+$D$97*F97</f>
        <v>9.3620517928286864E-2</v>
      </c>
      <c r="G100" s="35" t="s">
        <v>2</v>
      </c>
      <c r="H100" s="35">
        <f>+$D$96*H96+$D$97*H97</f>
        <v>9.413500000000001E-2</v>
      </c>
      <c r="I100" s="35" t="s">
        <v>2</v>
      </c>
      <c r="J100" s="35">
        <f>+$D$96*J96+$D$97*J97</f>
        <v>9.4700437898089171E-2</v>
      </c>
      <c r="K100" s="35" t="s">
        <v>2</v>
      </c>
      <c r="L100" s="35">
        <f>+$D$96*L96+$D$97*L97</f>
        <v>9.5294059795436675E-2</v>
      </c>
      <c r="M100" s="35" t="s">
        <v>2</v>
      </c>
      <c r="N100" s="35">
        <f>+$D$96*N96+$D$97*N97</f>
        <v>9.5908828064764862E-2</v>
      </c>
    </row>
    <row r="104" spans="3:14" x14ac:dyDescent="0.2">
      <c r="C104" s="5"/>
      <c r="D104" s="24" t="s">
        <v>2</v>
      </c>
      <c r="E104" s="24" t="s">
        <v>18</v>
      </c>
      <c r="F104" s="24" t="s">
        <v>19</v>
      </c>
      <c r="G104" s="24" t="s">
        <v>20</v>
      </c>
      <c r="H104" s="24" t="s">
        <v>21</v>
      </c>
      <c r="I104" s="24" t="s">
        <v>22</v>
      </c>
    </row>
    <row r="105" spans="3:14" x14ac:dyDescent="0.2">
      <c r="C105" s="1" t="s">
        <v>62</v>
      </c>
      <c r="D105" s="22" t="s">
        <v>2</v>
      </c>
      <c r="E105" s="22">
        <f>+E86</f>
        <v>75.705750000000009</v>
      </c>
      <c r="F105" s="22">
        <f t="shared" ref="F105:I105" si="25">+F86</f>
        <v>80.360219999999998</v>
      </c>
      <c r="G105" s="22">
        <f t="shared" si="25"/>
        <v>85.388458200000031</v>
      </c>
      <c r="H105" s="22">
        <f t="shared" si="25"/>
        <v>90.812890692000025</v>
      </c>
      <c r="I105" s="22">
        <f t="shared" si="25"/>
        <v>96.65728913352001</v>
      </c>
    </row>
    <row r="106" spans="3:14" x14ac:dyDescent="0.2">
      <c r="C106" s="1" t="s">
        <v>65</v>
      </c>
      <c r="E106" s="22">
        <f>+E92</f>
        <v>1255</v>
      </c>
      <c r="F106" s="22">
        <f t="shared" ref="F106:I106" si="26">+F92</f>
        <v>1250</v>
      </c>
      <c r="G106" s="22">
        <f t="shared" si="26"/>
        <v>1256</v>
      </c>
      <c r="H106" s="22">
        <f t="shared" si="26"/>
        <v>1270</v>
      </c>
      <c r="I106" s="22">
        <f t="shared" si="26"/>
        <v>1297</v>
      </c>
    </row>
    <row r="107" spans="3:14" ht="13.5" thickBot="1" x14ac:dyDescent="0.25">
      <c r="C107" s="17" t="s">
        <v>68</v>
      </c>
      <c r="D107" s="17"/>
      <c r="E107" s="36">
        <f>+F100</f>
        <v>9.3620517928286864E-2</v>
      </c>
      <c r="F107" s="36">
        <f>+H100</f>
        <v>9.413500000000001E-2</v>
      </c>
      <c r="G107" s="36">
        <f>+J100</f>
        <v>9.4700437898089171E-2</v>
      </c>
      <c r="H107" s="36">
        <f>+L100</f>
        <v>9.5294059795436675E-2</v>
      </c>
      <c r="I107" s="36">
        <f>+N100</f>
        <v>9.5908828064764862E-2</v>
      </c>
    </row>
    <row r="108" spans="3:14" ht="13.5" thickTop="1" x14ac:dyDescent="0.2">
      <c r="C108" s="1" t="s">
        <v>69</v>
      </c>
      <c r="D108" s="22" t="s">
        <v>2</v>
      </c>
      <c r="E108" s="22">
        <f>+E105-(E106*E107)</f>
        <v>-41.788000000000011</v>
      </c>
      <c r="F108" s="22">
        <f t="shared" ref="F108:I108" si="27">+F105-(F106*F107)</f>
        <v>-37.308530000000019</v>
      </c>
      <c r="G108" s="22">
        <f t="shared" si="27"/>
        <v>-33.555291799999964</v>
      </c>
      <c r="H108" s="22">
        <f t="shared" si="27"/>
        <v>-30.21056524820456</v>
      </c>
      <c r="I108" s="22">
        <f t="shared" si="27"/>
        <v>-27.736460866480016</v>
      </c>
    </row>
    <row r="109" spans="3:14" x14ac:dyDescent="0.2">
      <c r="C109" s="1" t="s">
        <v>70</v>
      </c>
      <c r="E109" s="22">
        <f>+NPV(D96, E108:I108)</f>
        <v>-131.8895566916722</v>
      </c>
    </row>
    <row r="110" spans="3:14" x14ac:dyDescent="0.2">
      <c r="E110" s="22"/>
    </row>
    <row r="111" spans="3:14" x14ac:dyDescent="0.2">
      <c r="C111" s="1" t="s">
        <v>71</v>
      </c>
      <c r="E111" s="22">
        <f>+I75/(1+0.1)^5</f>
        <v>629.61422158198309</v>
      </c>
    </row>
    <row r="112" spans="3:14" x14ac:dyDescent="0.2">
      <c r="C112" s="1" t="s">
        <v>72</v>
      </c>
      <c r="E112" s="22">
        <f>+E109+E111</f>
        <v>497.72466489031092</v>
      </c>
    </row>
    <row r="114" spans="2:9" x14ac:dyDescent="0.2">
      <c r="C114" s="41" t="s">
        <v>84</v>
      </c>
      <c r="D114" s="41" t="s">
        <v>2</v>
      </c>
      <c r="E114" s="41">
        <v>-41.919250000000005</v>
      </c>
      <c r="F114" s="41">
        <v>-37.26478000000003</v>
      </c>
      <c r="G114" s="41">
        <v>-33.686541799999958</v>
      </c>
      <c r="H114" s="41">
        <v>-30.166815248204571</v>
      </c>
      <c r="I114" s="41">
        <v>-27.86771086648001</v>
      </c>
    </row>
    <row r="115" spans="2:9" x14ac:dyDescent="0.2">
      <c r="C115" s="41" t="s">
        <v>70</v>
      </c>
      <c r="D115" s="41"/>
      <c r="E115" s="41">
        <v>-132.12294200129463</v>
      </c>
      <c r="F115" s="41"/>
      <c r="G115" s="41"/>
      <c r="H115" s="41"/>
      <c r="I115" s="41"/>
    </row>
    <row r="117" spans="2:9" ht="13.5" customHeight="1" x14ac:dyDescent="0.2">
      <c r="B117" s="10" t="s">
        <v>73</v>
      </c>
      <c r="C117" s="5"/>
      <c r="D117" s="5"/>
      <c r="E117" s="5"/>
      <c r="F117" s="5"/>
      <c r="G117" s="5"/>
      <c r="H117" s="5"/>
    </row>
    <row r="119" spans="2:9" x14ac:dyDescent="0.2">
      <c r="D119" s="24" t="s">
        <v>79</v>
      </c>
      <c r="E119" s="24" t="s">
        <v>83</v>
      </c>
    </row>
    <row r="120" spans="2:9" x14ac:dyDescent="0.2">
      <c r="C120" s="30" t="s">
        <v>74</v>
      </c>
      <c r="D120" s="37">
        <f>+E53</f>
        <v>8.2734107559941719E-2</v>
      </c>
      <c r="E120" s="37">
        <v>8.2734107559941719E-2</v>
      </c>
    </row>
    <row r="121" spans="2:9" x14ac:dyDescent="0.2">
      <c r="C121" s="30" t="s">
        <v>75</v>
      </c>
      <c r="D121" s="37">
        <f>+E64</f>
        <v>4.4617029522775034E-2</v>
      </c>
      <c r="E121" s="37">
        <v>4.4742103132243881E-2</v>
      </c>
    </row>
    <row r="122" spans="2:9" x14ac:dyDescent="0.2">
      <c r="C122" s="30" t="s">
        <v>76</v>
      </c>
      <c r="D122" s="37">
        <f>+D77</f>
        <v>0.1162526073623793</v>
      </c>
      <c r="E122" s="37">
        <v>0.1162526073623793</v>
      </c>
    </row>
    <row r="123" spans="2:9" x14ac:dyDescent="0.2">
      <c r="C123" s="30" t="s">
        <v>77</v>
      </c>
      <c r="D123" s="34">
        <f>+E109</f>
        <v>-131.8895566916722</v>
      </c>
      <c r="E123" s="34">
        <v>-132.12294200129463</v>
      </c>
    </row>
    <row r="124" spans="2:9" x14ac:dyDescent="0.2">
      <c r="C124" s="30" t="s">
        <v>78</v>
      </c>
      <c r="D124" s="34">
        <f>+E112</f>
        <v>497.72466489031092</v>
      </c>
      <c r="E124" s="34">
        <v>497.72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Introduccion</vt:lpstr>
      <vt:lpstr>Modelo</vt:lpstr>
      <vt:lpstr>Modelo Gestión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Merchán Fossati</dc:creator>
  <cp:lastModifiedBy>GUERRA NAVARRO NANCY EDITH</cp:lastModifiedBy>
  <dcterms:created xsi:type="dcterms:W3CDTF">2010-10-01T13:31:21Z</dcterms:created>
  <dcterms:modified xsi:type="dcterms:W3CDTF">2023-08-07T16:04:15Z</dcterms:modified>
</cp:coreProperties>
</file>